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G:\FotoVoltaico\Assistenza e Garanzia\Configuratore\"/>
    </mc:Choice>
  </mc:AlternateContent>
  <bookViews>
    <workbookView xWindow="0" yWindow="0" windowWidth="20460" windowHeight="11475"/>
  </bookViews>
  <sheets>
    <sheet name="Configuratore" sheetId="5" r:id="rId1"/>
    <sheet name="Pagina di calcolo" sheetId="4" state="hidden" r:id="rId2"/>
    <sheet name="Moduli Fotovoltaici" sheetId="1" state="hidden" r:id="rId3"/>
    <sheet name="Inverter" sheetId="2" state="hidden" r:id="rId4"/>
    <sheet name="SdA" sheetId="6" state="hidden" r:id="rId5"/>
  </sheets>
  <definedNames>
    <definedName name="Print_Area" localSheetId="0">Configuratore!$A$1:$AN$78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6" l="1"/>
  <c r="M10" i="6"/>
  <c r="M9" i="6"/>
  <c r="M8" i="6"/>
  <c r="M7" i="6"/>
  <c r="M6" i="6"/>
  <c r="M5" i="6"/>
  <c r="M2" i="6"/>
  <c r="P2" i="6"/>
  <c r="E4" i="6"/>
  <c r="W61" i="5" s="1"/>
  <c r="E2" i="6"/>
  <c r="F11" i="6" s="1"/>
  <c r="B56" i="6"/>
  <c r="B59" i="6" s="1"/>
  <c r="AY13" i="5"/>
  <c r="AY25" i="5" s="1"/>
  <c r="AY10" i="5"/>
  <c r="AY27" i="5" s="1"/>
  <c r="AW10" i="5"/>
  <c r="AW23" i="5" s="1"/>
  <c r="R18" i="5" s="1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M15" i="6"/>
  <c r="M14" i="6"/>
  <c r="M13" i="6"/>
  <c r="M12" i="6"/>
  <c r="M4" i="6"/>
  <c r="M3" i="6"/>
  <c r="L14" i="6"/>
  <c r="L13" i="6"/>
  <c r="K2" i="6"/>
  <c r="O71" i="5"/>
  <c r="O69" i="5"/>
  <c r="O73" i="5"/>
  <c r="AW4" i="5"/>
  <c r="AX4" i="5"/>
  <c r="AY4" i="5"/>
  <c r="AW3" i="5"/>
  <c r="AX3" i="5"/>
  <c r="AY3" i="5"/>
  <c r="W59" i="5" l="1"/>
  <c r="F12" i="6"/>
  <c r="F8" i="6"/>
  <c r="F10" i="6"/>
  <c r="F14" i="6"/>
  <c r="F4" i="6"/>
  <c r="F15" i="6"/>
  <c r="F16" i="6"/>
  <c r="F7" i="6"/>
  <c r="F3" i="6"/>
  <c r="F5" i="6"/>
  <c r="F2" i="6"/>
  <c r="F6" i="6"/>
  <c r="F13" i="6"/>
  <c r="F9" i="6"/>
  <c r="B58" i="6"/>
  <c r="AW33" i="5"/>
  <c r="AW29" i="5"/>
  <c r="R20" i="5" s="1"/>
  <c r="AW43" i="5"/>
  <c r="AL20" i="5" s="1"/>
  <c r="B57" i="6"/>
  <c r="AW27" i="5"/>
  <c r="G20" i="5" s="1"/>
  <c r="AW37" i="5"/>
  <c r="R22" i="5" s="1"/>
  <c r="AW15" i="5"/>
  <c r="R16" i="5" s="1"/>
  <c r="AW25" i="5"/>
  <c r="AC18" i="5" s="1"/>
  <c r="AW17" i="5"/>
  <c r="AC16" i="5" s="1"/>
  <c r="AW41" i="5"/>
  <c r="AL18" i="5" s="1"/>
  <c r="AW35" i="5"/>
  <c r="G22" i="5" s="1"/>
  <c r="AW19" i="5"/>
  <c r="AH16" i="5" s="1"/>
  <c r="AW13" i="5"/>
  <c r="G16" i="5" s="1"/>
  <c r="AW31" i="5"/>
  <c r="AC20" i="5" s="1"/>
  <c r="B60" i="6"/>
  <c r="L14" i="5"/>
  <c r="AW39" i="5"/>
  <c r="AC22" i="5" s="1"/>
  <c r="AW21" i="5"/>
  <c r="G18" i="5" s="1"/>
  <c r="AY64" i="5"/>
  <c r="AY33" i="5"/>
  <c r="AW72" i="5" s="1"/>
  <c r="AY28" i="5"/>
  <c r="AY34" i="5"/>
  <c r="AY69" i="5" s="1"/>
  <c r="AJ52" i="5" s="1"/>
  <c r="B29" i="5"/>
  <c r="AY24" i="5"/>
  <c r="AY45" i="5"/>
  <c r="AY22" i="5"/>
  <c r="AY51" i="5"/>
  <c r="AY31" i="5"/>
  <c r="AY73" i="5" s="1"/>
  <c r="AY21" i="5"/>
  <c r="AY19" i="5"/>
  <c r="AY48" i="5"/>
  <c r="AY46" i="5"/>
  <c r="AY18" i="5"/>
  <c r="AY15" i="5"/>
  <c r="N35" i="5" s="1"/>
  <c r="AY36" i="5"/>
  <c r="AY40" i="5"/>
  <c r="AY16" i="5"/>
  <c r="AI35" i="5" s="1"/>
  <c r="AY52" i="5"/>
  <c r="AY30" i="5"/>
  <c r="AY43" i="5"/>
  <c r="AY65" i="5"/>
  <c r="AY49" i="5"/>
  <c r="AY39" i="5"/>
  <c r="W29" i="5"/>
  <c r="AY37" i="5"/>
  <c r="AY42" i="5"/>
  <c r="AY68" i="5" l="1"/>
  <c r="O38" i="5" s="1"/>
  <c r="B39" i="5" s="1"/>
  <c r="AJ38" i="5"/>
  <c r="W39" i="5" s="1"/>
  <c r="AJ42" i="5"/>
  <c r="AW74" i="5"/>
  <c r="O44" i="5" s="1"/>
  <c r="AY72" i="5"/>
  <c r="O42" i="5" s="1"/>
  <c r="AJ46" i="5"/>
  <c r="AJ48" i="5"/>
  <c r="AW46" i="5"/>
  <c r="AW69" i="5"/>
  <c r="AM35" i="5"/>
  <c r="AZ44" i="5"/>
  <c r="AW49" i="5"/>
  <c r="O46" i="5"/>
  <c r="AW67" i="5"/>
  <c r="AW45" i="5"/>
  <c r="N67" i="5"/>
  <c r="AW75" i="5" s="1"/>
  <c r="S35" i="5"/>
  <c r="AW52" i="5"/>
  <c r="AZ43" i="5"/>
  <c r="AW48" i="5"/>
  <c r="O40" i="5"/>
  <c r="AJ44" i="5" l="1"/>
  <c r="O52" i="5"/>
  <c r="BA44" i="5"/>
  <c r="B36" i="5" s="1"/>
  <c r="BA43" i="5"/>
  <c r="W36" i="5" s="1"/>
  <c r="S42" i="5"/>
  <c r="B43" i="5"/>
  <c r="S44" i="5"/>
  <c r="B45" i="5"/>
  <c r="W49" i="5"/>
  <c r="AM48" i="5"/>
  <c r="B51" i="5"/>
  <c r="B41" i="5"/>
  <c r="O50" i="5"/>
  <c r="S40" i="5"/>
  <c r="AW64" i="5"/>
  <c r="W71" i="5"/>
  <c r="AW76" i="5"/>
  <c r="AI69" i="5" s="1"/>
  <c r="AI67" i="5"/>
  <c r="AW70" i="5" s="1"/>
  <c r="W72" i="5" s="1"/>
  <c r="AM44" i="5"/>
  <c r="W45" i="5"/>
  <c r="O48" i="5"/>
  <c r="AJ40" i="5"/>
  <c r="W47" i="5"/>
  <c r="AM46" i="5"/>
  <c r="S46" i="5"/>
  <c r="B47" i="5"/>
  <c r="AM42" i="5"/>
  <c r="W43" i="5"/>
  <c r="AZ50" i="5" l="1"/>
  <c r="AZ49" i="5"/>
  <c r="B49" i="5"/>
  <c r="S48" i="5"/>
  <c r="W41" i="5"/>
  <c r="AM40" i="5"/>
  <c r="AJ50" i="5"/>
</calcChain>
</file>

<file path=xl/comments1.xml><?xml version="1.0" encoding="utf-8"?>
<comments xmlns="http://schemas.openxmlformats.org/spreadsheetml/2006/main">
  <authors>
    <author>Simone Sardelli</author>
  </authors>
  <commentList>
    <comment ref="AK2" authorId="0" shapeId="0">
      <text>
        <r>
          <rPr>
            <b/>
            <sz val="8"/>
            <color indexed="39"/>
            <rFont val="Arial Narrow"/>
            <family val="2"/>
          </rPr>
          <t xml:space="preserve">PER SELEZIONARE I DATI CLICCARE SUL LATO DESTRO DEI CAMPI A SFONDO VERDE </t>
        </r>
      </text>
    </comment>
  </commentList>
</comments>
</file>

<file path=xl/sharedStrings.xml><?xml version="1.0" encoding="utf-8"?>
<sst xmlns="http://schemas.openxmlformats.org/spreadsheetml/2006/main" count="479" uniqueCount="338">
  <si>
    <t>Database Moduli Fotovoltaici</t>
  </si>
  <si>
    <t>Id</t>
  </si>
  <si>
    <t>Modello</t>
  </si>
  <si>
    <t>Marca</t>
  </si>
  <si>
    <t>Potenza STC (Wp)</t>
  </si>
  <si>
    <t>Voc (Vdc)</t>
  </si>
  <si>
    <t>Vmppt (Vdc)</t>
  </si>
  <si>
    <t>Larghezza (mm)</t>
  </si>
  <si>
    <t>Altezza (mm)</t>
  </si>
  <si>
    <t>Max tens. Sistema (Vdc)</t>
  </si>
  <si>
    <t>Isc (A)</t>
  </si>
  <si>
    <t>Imppt (A)</t>
  </si>
  <si>
    <t>k Voc (%/°C)</t>
  </si>
  <si>
    <t>k Isc (%/°C)</t>
  </si>
  <si>
    <t>Spessore (mm)</t>
  </si>
  <si>
    <t>Peso (Kg)</t>
  </si>
  <si>
    <t>Max Corrente inversa (A)</t>
  </si>
  <si>
    <t>Connettori</t>
  </si>
  <si>
    <t>MC4</t>
  </si>
  <si>
    <t>Database Inverter Fotovoltaici</t>
  </si>
  <si>
    <t>Max Potenza AC (VA)</t>
  </si>
  <si>
    <t>Potenza nom. AC (VA)</t>
  </si>
  <si>
    <t>Monofase/Trifase</t>
  </si>
  <si>
    <t>Max tensione Voc (Vdc)</t>
  </si>
  <si>
    <t>Max tensione mppt (Vdc)</t>
  </si>
  <si>
    <t>Min tensione mppt (Vdc)</t>
  </si>
  <si>
    <t>Tensione attivazione (Vdc)</t>
  </si>
  <si>
    <t>I nom. Mppt (A)</t>
  </si>
  <si>
    <t>Rendimento</t>
  </si>
  <si>
    <t>N° canali mppt</t>
  </si>
  <si>
    <t>Monofase</t>
  </si>
  <si>
    <t>P nom. Mppt 1 (W)</t>
  </si>
  <si>
    <t>P nom. Mppt 2 (W)</t>
  </si>
  <si>
    <t>P max tot. dc (W)</t>
  </si>
  <si>
    <t>Tensione Ac</t>
  </si>
  <si>
    <t>Corrente nom. (A)</t>
  </si>
  <si>
    <t>Temperatura ambiente  min.</t>
  </si>
  <si>
    <t>Temperatura ambiente  max.</t>
  </si>
  <si>
    <t>Tipo di montaggio moduli</t>
  </si>
  <si>
    <t>Montaggio su Tetto a falda</t>
  </si>
  <si>
    <t>Montaggio su struttura inclinata</t>
  </si>
  <si>
    <t>Montaggio su Tetto a falda Integrato</t>
  </si>
  <si>
    <t>Montaggio su inseguitore solare</t>
  </si>
  <si>
    <t>tmoduli-tamb</t>
  </si>
  <si>
    <t>n° moduli in serie</t>
  </si>
  <si>
    <t>n° stringhe in parallelo</t>
  </si>
  <si>
    <t>Progetto:</t>
  </si>
  <si>
    <t>SELEZIONE INVERTER:</t>
  </si>
  <si>
    <t>Minima temperatura ambiente (°c):</t>
  </si>
  <si>
    <t>Massima temperatura ambiente (°c)</t>
  </si>
  <si>
    <t>Modello Modulo</t>
  </si>
  <si>
    <t>N° moduli in serie</t>
  </si>
  <si>
    <t>N° Stringhe in parallelo</t>
  </si>
  <si>
    <t>Tipo di commenti</t>
  </si>
  <si>
    <t>Diminuire numero stringhe</t>
  </si>
  <si>
    <t>Massima corrente MPPT (Adc)</t>
  </si>
  <si>
    <t>% I a t min</t>
  </si>
  <si>
    <t>%I a t max</t>
  </si>
  <si>
    <t>T cell.max</t>
  </si>
  <si>
    <t>Massima tensione a vuoto (Vdc)</t>
  </si>
  <si>
    <t>% Voc tmin</t>
  </si>
  <si>
    <t>% Voc tmax</t>
  </si>
  <si>
    <t>Tensione di attivazione (Vdc)</t>
  </si>
  <si>
    <t>Massima tensione MPPT (Vdc)</t>
  </si>
  <si>
    <t>Minima tensione MPPT (Vdc)</t>
  </si>
  <si>
    <t>Tensione MPPT STC (Vdc)</t>
  </si>
  <si>
    <t>Massima corr. cortocircuito (Adc)</t>
  </si>
  <si>
    <t>Tensione Ac:</t>
  </si>
  <si>
    <t>Max  Potenza AC:</t>
  </si>
  <si>
    <t>Potenza nom. AC:</t>
  </si>
  <si>
    <t>Corr. nom. AC:</t>
  </si>
  <si>
    <t>Max tensione Voc:</t>
  </si>
  <si>
    <t>Max Vmppt:</t>
  </si>
  <si>
    <t>Min Vmppt:</t>
  </si>
  <si>
    <t>Tens. Attivazione:</t>
  </si>
  <si>
    <t>I nom. Mppt</t>
  </si>
  <si>
    <t>P nom. Mppt 1:</t>
  </si>
  <si>
    <t>P nom. Mppt 2:</t>
  </si>
  <si>
    <t>P max tot. Dc:</t>
  </si>
  <si>
    <t>N° MPPT</t>
  </si>
  <si>
    <t xml:space="preserve">MPPT 1 </t>
  </si>
  <si>
    <t>MPPT 2</t>
  </si>
  <si>
    <t>DATI CLIMATICI ZONA INSTALLAZIONE</t>
  </si>
  <si>
    <t>Corrente superiore al max. previsto, LIMITAZIONI di potenza ad alte insolazioni</t>
  </si>
  <si>
    <t>Aumentare numero di moduli in serie !</t>
  </si>
  <si>
    <t>Diminuire numero di moduli in serie !</t>
  </si>
  <si>
    <t>OK</t>
  </si>
  <si>
    <t>RISULTATI CONFIGURAZIONE</t>
  </si>
  <si>
    <t>Potenza totale di picco (STC)</t>
  </si>
  <si>
    <t>N° totale moduli FV</t>
  </si>
  <si>
    <t>N° totale moduli FV MPPT 1</t>
  </si>
  <si>
    <t>N° totale moduli FV MPPT 2</t>
  </si>
  <si>
    <t>Potenza max in uscita a STC (AC)</t>
  </si>
  <si>
    <t>Corrente in uscita AC a STC</t>
  </si>
  <si>
    <t>VERIFICHE:</t>
  </si>
  <si>
    <t>Selezione Inverter</t>
  </si>
  <si>
    <t>Selezione Molulo 1</t>
  </si>
  <si>
    <t>Selez. Struttura</t>
  </si>
  <si>
    <t>Selezione Molulo 2</t>
  </si>
  <si>
    <t>Vmax&lt;Max tensione sistema Mod.</t>
  </si>
  <si>
    <t>LEDIT</t>
  </si>
  <si>
    <t>FVDx-1000HV</t>
  </si>
  <si>
    <t>Trifase</t>
  </si>
  <si>
    <t>FVDx-800HV</t>
  </si>
  <si>
    <t>Limitazione di potenza in uscita per irraggiamento superiore a</t>
  </si>
  <si>
    <t>Superamento 70% Pmax dc</t>
  </si>
  <si>
    <t>Se P1 + P2 minore Pmax</t>
  </si>
  <si>
    <t>Se &lt; pmax e sbilanciati</t>
  </si>
  <si>
    <t>% carico P1</t>
  </si>
  <si>
    <t>% carico P2</t>
  </si>
  <si>
    <t>FVDx-600HV</t>
  </si>
  <si>
    <t>FVDx-500HV</t>
  </si>
  <si>
    <t>SBILANCIAMENTO TRA I CANALI, aumentare i moduli su altro MPPT o mettere in parallelo  i 2 canali elettricamente e  impostare "INGRESSI IN PARALLELO" su menu display Inverter</t>
  </si>
  <si>
    <t>Superamento 30% Pmax dc</t>
  </si>
  <si>
    <t xml:space="preserve">CONFIGURATORE </t>
  </si>
  <si>
    <t xml:space="preserve">INVERTER IBRIDO FOTOVOLTAICO   </t>
  </si>
  <si>
    <t>www.ledit-web.it</t>
  </si>
  <si>
    <t>LEGENDA</t>
  </si>
  <si>
    <t>Personalizzazione Piè di Pagina</t>
  </si>
  <si>
    <t>Imax MPPT (A)</t>
  </si>
  <si>
    <t>I MAX Mppt (A)</t>
  </si>
  <si>
    <t>LEDIT S.r.l.  |  Via Magenta 1  |  50050 Gambassi Terme (FI) |  www.ledit-web.it   |  support@ledit-web.it  (Ver.1.5)</t>
  </si>
  <si>
    <t>BPY Force-L2BMS</t>
  </si>
  <si>
    <t>Mod. Control.BMS L2 display Pylontech 45x30x19cm. 2-4 x Unit-L2 + CAVI e BASE</t>
  </si>
  <si>
    <t>BPY Force-L2mod</t>
  </si>
  <si>
    <t>Unità Batteria Pylontech FL4874 LiFePO4 3,55kWh 48V Eff.96% 45x30x30cm 35,5Kg</t>
  </si>
  <si>
    <t>BPY Force-H2BMS</t>
  </si>
  <si>
    <t>Mod. Control.BMS H2 display Pylontech 45x30x19cm. 2-4 Unit-H2 + CAVI e BASE H.4</t>
  </si>
  <si>
    <t>BPY Force-H2unit</t>
  </si>
  <si>
    <t>Unità Batt.Pylontech Force-H2 (384V-37AH) LiFePO4 3,55kWh 45x30x30cm iP55 35Kg</t>
  </si>
  <si>
    <t>Mod. Control.BMS H1 display Pylontech 60x38x15cm. 4-7 unit-H1 + CAVI e BASE H.4</t>
  </si>
  <si>
    <t>BPY Force-H1unit</t>
  </si>
  <si>
    <t>Unità Batt.Pylontech Force-H1 336V.74AH LiFePO4 3,55kWh 60x38x17cm iP55 36Kg 4-7</t>
  </si>
  <si>
    <t>BPY HV-48050</t>
  </si>
  <si>
    <t>Batt.Pylontech AltaTens. LiFePO4 2,40kWh 2U-Rack 48V 25A DoD90% 10x44x39cm 24Kg</t>
  </si>
  <si>
    <t>BPY HV-48074</t>
  </si>
  <si>
    <t>Batt.Pylontech AltaTens. LiFePO4 3,55kWh 3U-Rack 48V 37A DoD-90% 13x44x39cm 32Kg</t>
  </si>
  <si>
    <t>BPY HV-Hub</t>
  </si>
  <si>
    <t>Modulo MBMS-1000 Pylontech per Rack in parallelo serie HV &gt;15 unità</t>
  </si>
  <si>
    <t>BPY HV-SC1000BMS</t>
  </si>
  <si>
    <t>Modulo di Controllo BMS per HV-48050-48074 3U da 7 a 15 batterie + CAVI inv.</t>
  </si>
  <si>
    <t>BPY HV-SC500BMS</t>
  </si>
  <si>
    <t>Modulo di Controllo BMS per HV-48050-48074 2U da 2 a 10 batterie + CAVI inv.</t>
  </si>
  <si>
    <t>BPY Rack-06U</t>
  </si>
  <si>
    <t>Kit Armadio Rack 06U Max 3xUS2000C o 2x US3000C (7,2-7,1 kWh) + CAVI inv.</t>
  </si>
  <si>
    <t>BPY Rack-09U</t>
  </si>
  <si>
    <t>Kit Armadio Rack 09U Max 4xUS2000C o 3x US3000C (9,8-10,65 kWh) + CAVI inv.</t>
  </si>
  <si>
    <t>BPY Rack-12U</t>
  </si>
  <si>
    <t>Kit Armadio Rack 12U Max 6xUS2000C o 4x US3000C (12-14,2 kWh) + CAVI inv.</t>
  </si>
  <si>
    <t>BPY Rack-24U</t>
  </si>
  <si>
    <t>Kit Armadio Rack 24U Max 12xUS2000C o 8x US3000C (16-21,3 kWh) + CAVI inv.</t>
  </si>
  <si>
    <t>BPY Rack-33U</t>
  </si>
  <si>
    <t>Kit Armadio Rack 33U Max 16xUS2000C o 11x US3000C + CAVI inv.</t>
  </si>
  <si>
    <t>BPY Rack-08U</t>
  </si>
  <si>
    <t>Kit Armadio Rack 8U-EE Max 4xUS2000C o 3xUS3000C senza cavi inverter 25P</t>
  </si>
  <si>
    <t>BPY Rack-13U</t>
  </si>
  <si>
    <t>Kit Armadio Rack 8U-EE Max 6xUS2000C o 4xUS3000C senza cavi inverter</t>
  </si>
  <si>
    <t>BPY US2000-C</t>
  </si>
  <si>
    <t>Batteria Pylontech +BMS LiFePO4 2,40kWh 2U-Rack 48V 25A DoD90-95% 9x44x41cm 22Kg</t>
  </si>
  <si>
    <t>BPY US3000-C</t>
  </si>
  <si>
    <t>Batteria Pylontech +BMS LiFePO4 3,55kWh 3U-Rack 48V 37A DoD-95% 13x44x42cm 32Kg</t>
  </si>
  <si>
    <t>BPY US-LVHub</t>
  </si>
  <si>
    <t>Modulo MBMS LV-HUB Pylontech per Rack in parallelo serie US &gt;14 unità</t>
  </si>
  <si>
    <t>Batterie Pylontech serie US</t>
  </si>
  <si>
    <t>Batterie Pylontech serie L2</t>
  </si>
  <si>
    <t>Batterie Pylontech serie H2</t>
  </si>
  <si>
    <t>Batterie Pylontech serie HV</t>
  </si>
  <si>
    <t>Batterie Pylontech serie H1</t>
  </si>
  <si>
    <t>Rack di contenimento</t>
  </si>
  <si>
    <t>BPY Force-H1BMS</t>
  </si>
  <si>
    <t>Capacità</t>
  </si>
  <si>
    <t>n° moduli</t>
  </si>
  <si>
    <t>SELEZIONE Sistema di Accumulo:</t>
  </si>
  <si>
    <t>Selezione sistema di accumulo</t>
  </si>
  <si>
    <t>Assente</t>
  </si>
  <si>
    <t>US</t>
  </si>
  <si>
    <t>Mod. rack</t>
  </si>
  <si>
    <t>Peso</t>
  </si>
  <si>
    <t>kg.</t>
  </si>
  <si>
    <t>n°</t>
  </si>
  <si>
    <t>Capacità complessiva Sistema di Accumulo</t>
  </si>
  <si>
    <t>Quantità e modello batteria</t>
  </si>
  <si>
    <t>Accessori</t>
  </si>
  <si>
    <t>HV</t>
  </si>
  <si>
    <t>Sel. Tipo</t>
  </si>
  <si>
    <t>L2</t>
  </si>
  <si>
    <t>1 x BPY Force-H2BMS</t>
  </si>
  <si>
    <t>2 x BPY Force-H2BMS</t>
  </si>
  <si>
    <t>3 x BPY Force-H2BMS</t>
  </si>
  <si>
    <t>1 x BPY Force-L2mod</t>
  </si>
  <si>
    <t>2 x BPY Force-L2mod</t>
  </si>
  <si>
    <t>3 x BPY Force-L2mod</t>
  </si>
  <si>
    <t>4 x BPY Force-L2mod</t>
  </si>
  <si>
    <t>5 x BPY Force-L2mod</t>
  </si>
  <si>
    <t>6 x BPY Force-L2mod</t>
  </si>
  <si>
    <t>7 x BPY Force-L2mod</t>
  </si>
  <si>
    <t>8 x BPY Force-L2mod</t>
  </si>
  <si>
    <t>9 x BPY Force-L2mod</t>
  </si>
  <si>
    <t>10 x BPY Force-L2mod</t>
  </si>
  <si>
    <t>11 x BPY Force-L2mod</t>
  </si>
  <si>
    <t>12 x BPY Force-L2mod</t>
  </si>
  <si>
    <t>1 x BPY US3000-C</t>
  </si>
  <si>
    <t>2 x BPY US3000-C</t>
  </si>
  <si>
    <t>3 x BPY US3000-C</t>
  </si>
  <si>
    <t>4 x BPY US3000-C</t>
  </si>
  <si>
    <t>5 x BPY US3000-C</t>
  </si>
  <si>
    <t>6 x BPY US3000-C</t>
  </si>
  <si>
    <t>7 x BPY US3000-C</t>
  </si>
  <si>
    <t>8 x BPY US3000-C</t>
  </si>
  <si>
    <t>2 x BPY HV-48050</t>
  </si>
  <si>
    <t>2 x BPY HV-48074</t>
  </si>
  <si>
    <t>3 x BPY HV-48050</t>
  </si>
  <si>
    <t>4 x BPY HV-48050</t>
  </si>
  <si>
    <t>3 x BPY HV-48074</t>
  </si>
  <si>
    <t>5 x BPY HV-48050</t>
  </si>
  <si>
    <t>4 x BPY HV-48074</t>
  </si>
  <si>
    <t>6 x BPY HV-48050</t>
  </si>
  <si>
    <t>7 x BPY HV-48050</t>
  </si>
  <si>
    <t>5 x BPY HV-48074</t>
  </si>
  <si>
    <t>6 x BPY HV-48074</t>
  </si>
  <si>
    <t>7 x BPY HV-48074</t>
  </si>
  <si>
    <t>8 x BPY HV-48074</t>
  </si>
  <si>
    <t>1 x BPY HV-SC500BMS</t>
  </si>
  <si>
    <t>HV-  4,8 kWh</t>
  </si>
  <si>
    <t>HV-  7,1 kWh</t>
  </si>
  <si>
    <t>HV-  7,2 kWh</t>
  </si>
  <si>
    <t>HV-  9,6 kWh</t>
  </si>
  <si>
    <t>HV-  10,65 kWh</t>
  </si>
  <si>
    <t>HV-  12 kWh</t>
  </si>
  <si>
    <t>HV-  14,2 kWh</t>
  </si>
  <si>
    <t>HV-  14,4 kWh</t>
  </si>
  <si>
    <t>HV-  16,8 kWh</t>
  </si>
  <si>
    <t>HV-  17,75 kWh</t>
  </si>
  <si>
    <t>HV-  21,3 kWh</t>
  </si>
  <si>
    <t>HV-  24,85 kWh</t>
  </si>
  <si>
    <t>HV-  28,4 kWh</t>
  </si>
  <si>
    <t>L2-  3,55 kWh</t>
  </si>
  <si>
    <t>L2-  7,1 kWh</t>
  </si>
  <si>
    <t>L2-  10,65 kWh</t>
  </si>
  <si>
    <t>L2-  14,2 kWh</t>
  </si>
  <si>
    <t>L2-  17,75 kWh</t>
  </si>
  <si>
    <t>L2-  21,3 kWh</t>
  </si>
  <si>
    <t>L2-  24,86 kWh</t>
  </si>
  <si>
    <t>L2-  28,4 kWh</t>
  </si>
  <si>
    <t>L2-  31,95 kWh</t>
  </si>
  <si>
    <t>L2-  35,5 kWh</t>
  </si>
  <si>
    <t>L2-  39,05 kWh</t>
  </si>
  <si>
    <t>L2-  42,6 kWh</t>
  </si>
  <si>
    <t>US-  3,55 kWh</t>
  </si>
  <si>
    <t>US-  4,8 kWh</t>
  </si>
  <si>
    <t>US-  7,1 kWh</t>
  </si>
  <si>
    <t>US-  9,6 kWh</t>
  </si>
  <si>
    <t>US-  10,65 kWh</t>
  </si>
  <si>
    <t>US-  14,2 kWh</t>
  </si>
  <si>
    <t>US-  14,4 kWh</t>
  </si>
  <si>
    <t>US-  17,75 kWh</t>
  </si>
  <si>
    <t>US-  21,3 kWh</t>
  </si>
  <si>
    <t>US-  24,85 kWh</t>
  </si>
  <si>
    <t>US-  28,4 kWh</t>
  </si>
  <si>
    <t>H1-  10,65 kWh</t>
  </si>
  <si>
    <t>H1-  14,2 kWh</t>
  </si>
  <si>
    <t>H1-  17,75 kWh</t>
  </si>
  <si>
    <t>H1-  21,3 kWh</t>
  </si>
  <si>
    <t>H1-  24,86 kWh</t>
  </si>
  <si>
    <t>3 x BPY Force-H1unit</t>
  </si>
  <si>
    <t>4 x BPY Force-H1unit</t>
  </si>
  <si>
    <t>5 x BPY Force-H1unit</t>
  </si>
  <si>
    <t>6 x BPY Force-H1unit</t>
  </si>
  <si>
    <t>7 x BPY Force-H1unit</t>
  </si>
  <si>
    <t>1 x BPY Force-H1BMS</t>
  </si>
  <si>
    <t>H1</t>
  </si>
  <si>
    <t>H2</t>
  </si>
  <si>
    <t>H2-  10,65 kWh</t>
  </si>
  <si>
    <t>H2-  14,2 kWh</t>
  </si>
  <si>
    <t>H2-  7,1 kWh</t>
  </si>
  <si>
    <t>2 x BPY Force-H2unit</t>
  </si>
  <si>
    <t>3 x BPY Force-H2unit</t>
  </si>
  <si>
    <t>4 x BPY Force-H2unit</t>
  </si>
  <si>
    <t>Hybrid 3,6K-1ph</t>
  </si>
  <si>
    <t>Hybrid 5K-1ph</t>
  </si>
  <si>
    <t>SIEL</t>
  </si>
  <si>
    <t>Batteria SIEL integrata Hybrid</t>
  </si>
  <si>
    <t>Hy - 5,12 kWh</t>
  </si>
  <si>
    <t>Hy - 10,24 kWh</t>
  </si>
  <si>
    <t>Hy - 15,36 kWh</t>
  </si>
  <si>
    <t>Hy - 20,48 kWh</t>
  </si>
  <si>
    <t>1 x SIEL Battery unit</t>
  </si>
  <si>
    <t>2 x SIEL Battery unit</t>
  </si>
  <si>
    <t>3 x SIEL Battery unit</t>
  </si>
  <si>
    <t>4 x SIEL Battery unit</t>
  </si>
  <si>
    <t>FVDi-C300 EVO</t>
  </si>
  <si>
    <t>FVDi-C450 EVO</t>
  </si>
  <si>
    <t>FVDi-C600 EVO</t>
  </si>
  <si>
    <t>FVDi-450 EVO</t>
  </si>
  <si>
    <t>FVDi-600 EVO</t>
  </si>
  <si>
    <t>Rendimento Euro</t>
  </si>
  <si>
    <t>PFR 410 8VM</t>
  </si>
  <si>
    <t>PFR 415 8VM</t>
  </si>
  <si>
    <t>PFR 450 7iM</t>
  </si>
  <si>
    <t>PFR 460 7iM</t>
  </si>
  <si>
    <t>PFR 550 8iM</t>
  </si>
  <si>
    <t>PFR 555 8iM</t>
  </si>
  <si>
    <t>PFR 560 8iM</t>
  </si>
  <si>
    <t>Utente</t>
  </si>
  <si>
    <t>Utente 1</t>
  </si>
  <si>
    <t>Utente 2</t>
  </si>
  <si>
    <t>Utente 3</t>
  </si>
  <si>
    <t>Utente 4</t>
  </si>
  <si>
    <t>Utente 5</t>
  </si>
  <si>
    <t>Utente 6</t>
  </si>
  <si>
    <t>Utente 7</t>
  </si>
  <si>
    <t>DOWELL</t>
  </si>
  <si>
    <t>iPack C 6,5 kWh</t>
  </si>
  <si>
    <t>iPack C 13 kWh</t>
  </si>
  <si>
    <t>iPack C 19,5 kWh</t>
  </si>
  <si>
    <t>iPack C 26 kWh</t>
  </si>
  <si>
    <t>1 x iPack C6.5</t>
  </si>
  <si>
    <t>2 x iPack C6.5</t>
  </si>
  <si>
    <t>3 x iPack C6.5</t>
  </si>
  <si>
    <t>4 x iPack C6.5</t>
  </si>
  <si>
    <t>Batterie Dowell iPack</t>
  </si>
  <si>
    <t>iPack C 32,5 kWh</t>
  </si>
  <si>
    <t>5 x iPack C6.5</t>
  </si>
  <si>
    <t>1 x Dowell Cable Kit</t>
  </si>
  <si>
    <t>2 x Dowell Cable Kit + 1 x Connection Box</t>
  </si>
  <si>
    <t>3 x Dowell Cable Kit + 1 x Connection Box</t>
  </si>
  <si>
    <t>4 x Dowell Cable Kit + 1 x Connection Box</t>
  </si>
  <si>
    <t>5 x Dowell Cable Kit + 2 x Connection Box</t>
  </si>
  <si>
    <t>1 x BPY US5000-C</t>
  </si>
  <si>
    <t>2 x BPY US5000-C</t>
  </si>
  <si>
    <t>3 x BPY US5000-C</t>
  </si>
  <si>
    <t>US-  19,2 kWh</t>
  </si>
  <si>
    <t>4 x BPY US5000-C</t>
  </si>
  <si>
    <t>US-  24 kWh</t>
  </si>
  <si>
    <t>5 x BPY US5000-C</t>
  </si>
  <si>
    <t>6 x BPY US5000-C</t>
  </si>
  <si>
    <t>US-  28,8 kWh</t>
  </si>
  <si>
    <t>PFO 430-M54NT5-BF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</si>
</sst>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#,##0_ ;\-#,##0\ "/>
    <numFmt numFmtId="165" formatCode="0\ &quot;Vac&quot;"/>
    <numFmt numFmtId="166" formatCode="0\ &quot;VA&quot;"/>
    <numFmt numFmtId="167" formatCode="0.0\ &quot;A&quot;"/>
    <numFmt numFmtId="168" formatCode="0\ &quot;Vdc&quot;"/>
    <numFmt numFmtId="169" formatCode="0\ &quot;W&quot;"/>
    <numFmt numFmtId="170" formatCode="#,##0\ &quot;Wp&quot;"/>
    <numFmt numFmtId="171" formatCode="&quot;n°&quot;\ 0"/>
    <numFmt numFmtId="172" formatCode="0\ &quot;)&quot;"/>
    <numFmt numFmtId="173" formatCode="#,##0\ &quot;VA&quot;"/>
    <numFmt numFmtId="174" formatCode="_-* #,##0_-;\-* #,##0_-;_-* &quot;-&quot;??_-;_-@_-"/>
    <numFmt numFmtId="175" formatCode="0\ &quot;W/m2&quot;"/>
    <numFmt numFmtId="176" formatCode="0.000%"/>
    <numFmt numFmtId="177" formatCode="0.0%"/>
    <numFmt numFmtId="178" formatCode="0.00\ &quot;kWh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7"/>
      <color theme="4" tint="-0.249977111117893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0"/>
      <color theme="4" tint="-0.249977111117893"/>
      <name val="Calibri"/>
      <family val="2"/>
    </font>
    <font>
      <b/>
      <sz val="8"/>
      <color indexed="39"/>
      <name val="Arial Narrow"/>
      <family val="2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</font>
    <font>
      <b/>
      <i/>
      <sz val="14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"/>
      <color theme="4"/>
      <name val="Calibri"/>
      <family val="2"/>
      <scheme val="minor"/>
    </font>
    <font>
      <sz val="6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/>
    <xf numFmtId="2" fontId="6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vertical="center"/>
    </xf>
    <xf numFmtId="167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9" fontId="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2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9" fontId="13" fillId="0" borderId="0" xfId="0" applyNumberFormat="1" applyFont="1"/>
    <xf numFmtId="171" fontId="13" fillId="0" borderId="0" xfId="0" applyNumberFormat="1" applyFont="1"/>
    <xf numFmtId="0" fontId="13" fillId="0" borderId="0" xfId="0" applyFont="1"/>
    <xf numFmtId="172" fontId="13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74" fontId="0" fillId="0" borderId="0" xfId="2" applyNumberFormat="1" applyFont="1"/>
    <xf numFmtId="0" fontId="15" fillId="0" borderId="0" xfId="0" applyFont="1"/>
    <xf numFmtId="174" fontId="13" fillId="0" borderId="0" xfId="0" applyNumberFormat="1" applyFont="1" applyAlignment="1">
      <alignment vertical="top" wrapText="1"/>
    </xf>
    <xf numFmtId="9" fontId="0" fillId="0" borderId="0" xfId="1" applyFont="1"/>
    <xf numFmtId="176" fontId="0" fillId="0" borderId="0" xfId="1" applyNumberFormat="1" applyFont="1"/>
    <xf numFmtId="0" fontId="0" fillId="2" borderId="0" xfId="0" applyFill="1" applyAlignment="1">
      <alignment horizontal="center"/>
    </xf>
    <xf numFmtId="177" fontId="0" fillId="0" borderId="0" xfId="1" applyNumberFormat="1" applyFont="1"/>
    <xf numFmtId="0" fontId="17" fillId="0" borderId="0" xfId="0" applyFont="1" applyAlignment="1">
      <alignment vertical="center"/>
    </xf>
    <xf numFmtId="0" fontId="20" fillId="0" borderId="0" xfId="3" applyFont="1" applyBorder="1" applyAlignment="1">
      <alignment vertical="center"/>
    </xf>
    <xf numFmtId="0" fontId="16" fillId="0" borderId="0" xfId="0" applyFont="1" applyAlignment="1">
      <alignment wrapText="1"/>
    </xf>
    <xf numFmtId="0" fontId="29" fillId="0" borderId="0" xfId="0" applyFont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9" fontId="0" fillId="5" borderId="8" xfId="1" applyFont="1" applyFill="1" applyBorder="1" applyAlignment="1">
      <alignment horizontal="center"/>
    </xf>
    <xf numFmtId="9" fontId="0" fillId="5" borderId="11" xfId="1" applyFont="1" applyFill="1" applyBorder="1" applyAlignment="1">
      <alignment horizontal="center"/>
    </xf>
    <xf numFmtId="9" fontId="0" fillId="5" borderId="14" xfId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/>
    <xf numFmtId="49" fontId="0" fillId="0" borderId="0" xfId="0" applyNumberFormat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0" xfId="0" applyFill="1"/>
    <xf numFmtId="169" fontId="9" fillId="4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31" fillId="0" borderId="0" xfId="0" applyFont="1" applyAlignment="1">
      <alignment horizontal="center" vertical="top"/>
    </xf>
    <xf numFmtId="164" fontId="8" fillId="4" borderId="0" xfId="2" applyNumberFormat="1" applyFont="1" applyFill="1" applyBorder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168" fontId="10" fillId="4" borderId="0" xfId="0" applyNumberFormat="1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9" fontId="9" fillId="4" borderId="0" xfId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9" fillId="4" borderId="0" xfId="0" applyNumberFormat="1" applyFont="1" applyFill="1" applyAlignment="1">
      <alignment horizontal="center" vertical="center"/>
    </xf>
    <xf numFmtId="166" fontId="9" fillId="4" borderId="0" xfId="0" applyNumberFormat="1" applyFont="1" applyFill="1" applyAlignment="1">
      <alignment horizontal="center" vertical="center"/>
    </xf>
    <xf numFmtId="0" fontId="25" fillId="3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" fontId="6" fillId="4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9" fillId="4" borderId="0" xfId="0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174" fontId="13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/>
    </xf>
    <xf numFmtId="175" fontId="13" fillId="0" borderId="0" xfId="0" applyNumberFormat="1" applyFont="1" applyAlignment="1">
      <alignment horizontal="left" vertical="top"/>
    </xf>
    <xf numFmtId="0" fontId="10" fillId="4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center" wrapText="1"/>
      <protection locked="0"/>
    </xf>
    <xf numFmtId="173" fontId="6" fillId="4" borderId="0" xfId="0" applyNumberFormat="1" applyFont="1" applyFill="1" applyAlignment="1">
      <alignment horizontal="center" vertical="center"/>
    </xf>
    <xf numFmtId="2" fontId="14" fillId="4" borderId="0" xfId="0" applyNumberFormat="1" applyFont="1" applyFill="1" applyAlignment="1">
      <alignment horizontal="center" vertical="center"/>
    </xf>
    <xf numFmtId="170" fontId="8" fillId="4" borderId="0" xfId="0" applyNumberFormat="1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178" fontId="8" fillId="3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/>
    </xf>
    <xf numFmtId="0" fontId="0" fillId="0" borderId="0" xfId="0" applyAlignment="1">
      <alignment horizontal="center" vertical="center"/>
    </xf>
  </cellXfs>
  <cellStyles count="4">
    <cellStyle name="Collegamento ipertestuale" xfId="3" builtinId="8"/>
    <cellStyle name="Migliaia" xfId="2" builtinId="3"/>
    <cellStyle name="Normale" xfId="0" builtinId="0"/>
    <cellStyle name="Percentuale" xfId="1" builtinId="5"/>
  </cellStyles>
  <dxfs count="1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  <fill>
        <patternFill>
          <bgColor theme="8" tint="0.79998168889431442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theme="5"/>
      </font>
      <fill>
        <patternFill>
          <bgColor theme="8" tint="0.79998168889431442"/>
        </patternFill>
      </fill>
      <border>
        <left/>
        <right/>
        <top/>
        <bottom/>
      </border>
    </dxf>
    <dxf>
      <font>
        <color rgb="FFFF0000"/>
      </font>
    </dxf>
  </dxfs>
  <tableStyles count="0" defaultTableStyle="TableStyleMedium2" defaultPivotStyle="PivotStyleLight16"/>
  <colors>
    <mruColors>
      <color rgb="FF2BDC0E"/>
      <color rgb="FF09BD34"/>
      <color rgb="FFFFC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edit-web.it/ledit-su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12</xdr:row>
      <xdr:rowOff>95250</xdr:rowOff>
    </xdr:from>
    <xdr:to>
      <xdr:col>39</xdr:col>
      <xdr:colOff>81396</xdr:colOff>
      <xdr:row>22</xdr:row>
      <xdr:rowOff>109904</xdr:rowOff>
    </xdr:to>
    <xdr:sp macro="" textlink="">
      <xdr:nvSpPr>
        <xdr:cNvPr id="3" name="Rettangolo con angoli arrotondati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318" y="1722438"/>
          <a:ext cx="5802891" cy="1443404"/>
        </a:xfrm>
        <a:prstGeom prst="roundRect">
          <a:avLst>
            <a:gd name="adj" fmla="val 3962"/>
          </a:avLst>
        </a:prstGeom>
        <a:noFill/>
        <a:ln w="22225" cap="rnd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21981</xdr:colOff>
      <xdr:row>7</xdr:row>
      <xdr:rowOff>17902</xdr:rowOff>
    </xdr:from>
    <xdr:to>
      <xdr:col>36</xdr:col>
      <xdr:colOff>117896</xdr:colOff>
      <xdr:row>7</xdr:row>
      <xdr:rowOff>17902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61596" y="1300114"/>
          <a:ext cx="4880396" cy="0"/>
        </a:xfrm>
        <a:prstGeom prst="line">
          <a:avLst/>
        </a:prstGeom>
        <a:ln w="19050">
          <a:solidFill>
            <a:srgbClr val="09BD3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13856</xdr:colOff>
      <xdr:row>23</xdr:row>
      <xdr:rowOff>43826</xdr:rowOff>
    </xdr:from>
    <xdr:to>
      <xdr:col>19</xdr:col>
      <xdr:colOff>86591</xdr:colOff>
      <xdr:row>53</xdr:row>
      <xdr:rowOff>0</xdr:rowOff>
    </xdr:to>
    <xdr:sp macro="" textlink="">
      <xdr:nvSpPr>
        <xdr:cNvPr id="7" name="Rettangolo con angoli arrotondati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856" y="3342940"/>
          <a:ext cx="2938894" cy="4372310"/>
        </a:xfrm>
        <a:prstGeom prst="roundRect">
          <a:avLst>
            <a:gd name="adj" fmla="val 2284"/>
          </a:avLst>
        </a:prstGeom>
        <a:noFill/>
        <a:ln w="22225" cap="sq" cmpd="sng">
          <a:prstDash val="solid"/>
          <a:round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20</xdr:col>
      <xdr:colOff>62348</xdr:colOff>
      <xdr:row>23</xdr:row>
      <xdr:rowOff>49023</xdr:rowOff>
    </xdr:from>
    <xdr:to>
      <xdr:col>40</xdr:col>
      <xdr:colOff>675</xdr:colOff>
      <xdr:row>53</xdr:row>
      <xdr:rowOff>0</xdr:rowOff>
    </xdr:to>
    <xdr:sp macro="" textlink="">
      <xdr:nvSpPr>
        <xdr:cNvPr id="10" name="Rettangolo con angoli arrotondati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015098" y="3536638"/>
          <a:ext cx="2839789" cy="4369112"/>
        </a:xfrm>
        <a:prstGeom prst="roundRect">
          <a:avLst>
            <a:gd name="adj" fmla="val 2318"/>
          </a:avLst>
        </a:prstGeom>
        <a:noFill/>
        <a:ln w="22225" cap="sq" cmpd="sng">
          <a:prstDash val="solid"/>
          <a:round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20</xdr:col>
      <xdr:colOff>65812</xdr:colOff>
      <xdr:row>23</xdr:row>
      <xdr:rowOff>61669</xdr:rowOff>
    </xdr:from>
    <xdr:to>
      <xdr:col>25</xdr:col>
      <xdr:colOff>142875</xdr:colOff>
      <xdr:row>26</xdr:row>
      <xdr:rowOff>45507</xdr:rowOff>
    </xdr:to>
    <xdr:sp macro="" textlink="">
      <xdr:nvSpPr>
        <xdr:cNvPr id="11" name="Rettangolo con angoli arrotondati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996581" y="3344131"/>
          <a:ext cx="736486" cy="423453"/>
        </a:xfrm>
        <a:prstGeom prst="roundRect">
          <a:avLst>
            <a:gd name="adj" fmla="val 11819"/>
          </a:avLst>
        </a:prstGeom>
        <a:solidFill>
          <a:schemeClr val="accent6">
            <a:lumMod val="75000"/>
            <a:alpha val="18000"/>
          </a:schemeClr>
        </a:solidFill>
        <a:ln w="12700" cap="sq" cmpd="sng">
          <a:prstDash val="solid"/>
          <a:round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r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15012</xdr:colOff>
      <xdr:row>23</xdr:row>
      <xdr:rowOff>52308</xdr:rowOff>
    </xdr:from>
    <xdr:to>
      <xdr:col>5</xdr:col>
      <xdr:colOff>0</xdr:colOff>
      <xdr:row>26</xdr:row>
      <xdr:rowOff>36146</xdr:rowOff>
    </xdr:to>
    <xdr:sp macro="" textlink="">
      <xdr:nvSpPr>
        <xdr:cNvPr id="12" name="Rettangolo con angoli arrotondati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5012" y="3252708"/>
          <a:ext cx="746988" cy="412463"/>
        </a:xfrm>
        <a:prstGeom prst="roundRect">
          <a:avLst>
            <a:gd name="adj" fmla="val 18234"/>
          </a:avLst>
        </a:prstGeom>
        <a:solidFill>
          <a:schemeClr val="accent6">
            <a:lumMod val="75000"/>
            <a:alpha val="18000"/>
          </a:schemeClr>
        </a:solidFill>
        <a:ln w="12700" cap="sq" cmpd="sng">
          <a:prstDash val="solid"/>
          <a:round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13856</xdr:colOff>
      <xdr:row>32</xdr:row>
      <xdr:rowOff>135524</xdr:rowOff>
    </xdr:from>
    <xdr:to>
      <xdr:col>19</xdr:col>
      <xdr:colOff>86591</xdr:colOff>
      <xdr:row>53</xdr:row>
      <xdr:rowOff>0</xdr:rowOff>
    </xdr:to>
    <xdr:sp macro="" textlink="">
      <xdr:nvSpPr>
        <xdr:cNvPr id="14" name="Rettangolo con angoli arrotondati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856" y="4759479"/>
          <a:ext cx="2938894" cy="2955771"/>
        </a:xfrm>
        <a:prstGeom prst="roundRect">
          <a:avLst>
            <a:gd name="adj" fmla="val 2854"/>
          </a:avLst>
        </a:prstGeom>
        <a:noFill/>
        <a:ln w="22225" cap="sq" cmpd="sng">
          <a:prstDash val="solid"/>
          <a:round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20</xdr:col>
      <xdr:colOff>64657</xdr:colOff>
      <xdr:row>32</xdr:row>
      <xdr:rowOff>142851</xdr:rowOff>
    </xdr:from>
    <xdr:to>
      <xdr:col>40</xdr:col>
      <xdr:colOff>2199</xdr:colOff>
      <xdr:row>53</xdr:row>
      <xdr:rowOff>0</xdr:rowOff>
    </xdr:to>
    <xdr:sp macro="" textlink="">
      <xdr:nvSpPr>
        <xdr:cNvPr id="18" name="Rettangolo con angoli arrotondati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078021" y="4766806"/>
          <a:ext cx="2881633" cy="2948444"/>
        </a:xfrm>
        <a:prstGeom prst="roundRect">
          <a:avLst>
            <a:gd name="adj" fmla="val 2502"/>
          </a:avLst>
        </a:prstGeom>
        <a:noFill/>
        <a:ln w="22225" cap="sq" cmpd="sng">
          <a:prstDash val="solid"/>
          <a:round/>
        </a:ln>
        <a:effectLst>
          <a:softEdge rad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17318</xdr:colOff>
      <xdr:row>12</xdr:row>
      <xdr:rowOff>100542</xdr:rowOff>
    </xdr:from>
    <xdr:to>
      <xdr:col>39</xdr:col>
      <xdr:colOff>100446</xdr:colOff>
      <xdr:row>14</xdr:row>
      <xdr:rowOff>42333</xdr:rowOff>
    </xdr:to>
    <xdr:sp macro="" textlink="">
      <xdr:nvSpPr>
        <xdr:cNvPr id="16" name="Rettangolo con angoli arrotondati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7318" y="1529292"/>
          <a:ext cx="5739920" cy="227541"/>
        </a:xfrm>
        <a:prstGeom prst="roundRect">
          <a:avLst>
            <a:gd name="adj" fmla="val 25866"/>
          </a:avLst>
        </a:prstGeom>
        <a:noFill/>
        <a:ln w="22225" cap="rnd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17318</xdr:colOff>
      <xdr:row>8</xdr:row>
      <xdr:rowOff>83909</xdr:rowOff>
    </xdr:from>
    <xdr:to>
      <xdr:col>39</xdr:col>
      <xdr:colOff>100446</xdr:colOff>
      <xdr:row>12</xdr:row>
      <xdr:rowOff>15108</xdr:rowOff>
    </xdr:to>
    <xdr:sp macro="" textlink="">
      <xdr:nvSpPr>
        <xdr:cNvPr id="19" name="Rettangolo con angoli arrotondati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7318" y="1226909"/>
          <a:ext cx="5730092" cy="414253"/>
        </a:xfrm>
        <a:prstGeom prst="roundRect">
          <a:avLst>
            <a:gd name="adj" fmla="val 14369"/>
          </a:avLst>
        </a:prstGeom>
        <a:noFill/>
        <a:ln w="22225" cap="rnd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17318</xdr:colOff>
      <xdr:row>63</xdr:row>
      <xdr:rowOff>73252</xdr:rowOff>
    </xdr:from>
    <xdr:to>
      <xdr:col>39</xdr:col>
      <xdr:colOff>81396</xdr:colOff>
      <xdr:row>73</xdr:row>
      <xdr:rowOff>87906</xdr:rowOff>
    </xdr:to>
    <xdr:sp macro="" textlink="">
      <xdr:nvSpPr>
        <xdr:cNvPr id="20" name="Rettangolo con angoli arrotondati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7318" y="7458790"/>
          <a:ext cx="5910963" cy="1480039"/>
        </a:xfrm>
        <a:prstGeom prst="roundRect">
          <a:avLst>
            <a:gd name="adj" fmla="val 3962"/>
          </a:avLst>
        </a:prstGeom>
        <a:noFill/>
        <a:ln w="22225" cap="rnd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0</xdr:colOff>
      <xdr:row>76</xdr:row>
      <xdr:rowOff>55330</xdr:rowOff>
    </xdr:from>
    <xdr:to>
      <xdr:col>39</xdr:col>
      <xdr:colOff>69725</xdr:colOff>
      <xdr:row>76</xdr:row>
      <xdr:rowOff>55330</xdr:rowOff>
    </xdr:to>
    <xdr:cxnSp macro="">
      <xdr:nvCxnSpPr>
        <xdr:cNvPr id="15" name="Connettore dirit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0" y="10085888"/>
          <a:ext cx="5836013" cy="0"/>
        </a:xfrm>
        <a:prstGeom prst="line">
          <a:avLst/>
        </a:prstGeom>
        <a:ln w="19050">
          <a:solidFill>
            <a:srgbClr val="09BD3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88138</xdr:colOff>
      <xdr:row>0</xdr:row>
      <xdr:rowOff>36635</xdr:rowOff>
    </xdr:from>
    <xdr:to>
      <xdr:col>11</xdr:col>
      <xdr:colOff>73269</xdr:colOff>
      <xdr:row>5</xdr:row>
      <xdr:rowOff>2375</xdr:rowOff>
    </xdr:to>
    <xdr:pic>
      <xdr:nvPicPr>
        <xdr:cNvPr id="4" name="Immagin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8" y="36635"/>
          <a:ext cx="1597054" cy="742394"/>
        </a:xfrm>
        <a:prstGeom prst="rect">
          <a:avLst/>
        </a:prstGeom>
      </xdr:spPr>
    </xdr:pic>
    <xdr:clientData/>
  </xdr:twoCellAnchor>
  <xdr:twoCellAnchor>
    <xdr:from>
      <xdr:col>0</xdr:col>
      <xdr:colOff>9991</xdr:colOff>
      <xdr:row>53</xdr:row>
      <xdr:rowOff>58596</xdr:rowOff>
    </xdr:from>
    <xdr:to>
      <xdr:col>39</xdr:col>
      <xdr:colOff>74069</xdr:colOff>
      <xdr:row>62</xdr:row>
      <xdr:rowOff>117231</xdr:rowOff>
    </xdr:to>
    <xdr:sp macro="" textlink="">
      <xdr:nvSpPr>
        <xdr:cNvPr id="2" name="Rettangolo con angoli arrotondati 1">
          <a:extLst>
            <a:ext uri="{FF2B5EF4-FFF2-40B4-BE49-F238E27FC236}">
              <a16:creationId xmlns:a16="http://schemas.microsoft.com/office/drawing/2014/main" id="{BA9DBA73-8B39-45F1-8EAC-482EE16451D9}"/>
            </a:ext>
          </a:extLst>
        </xdr:cNvPr>
        <xdr:cNvSpPr/>
      </xdr:nvSpPr>
      <xdr:spPr>
        <a:xfrm>
          <a:off x="9991" y="7268288"/>
          <a:ext cx="5830366" cy="1377481"/>
        </a:xfrm>
        <a:prstGeom prst="roundRect">
          <a:avLst>
            <a:gd name="adj" fmla="val 3962"/>
          </a:avLst>
        </a:prstGeom>
        <a:noFill/>
        <a:ln w="22225" cap="rnd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dit-web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BA79"/>
  <sheetViews>
    <sheetView showGridLines="0" tabSelected="1" zoomScale="130" zoomScaleNormal="130" workbookViewId="0">
      <selection activeCell="BE22" sqref="BE22"/>
    </sheetView>
  </sheetViews>
  <sheetFormatPr defaultColWidth="2.140625" defaultRowHeight="11.25" customHeight="1" x14ac:dyDescent="0.25"/>
  <cols>
    <col min="2" max="2" width="2.140625" customWidth="1"/>
    <col min="19" max="19" width="2.5703125" customWidth="1"/>
    <col min="20" max="20" width="2.140625" customWidth="1"/>
    <col min="21" max="21" width="1.140625" customWidth="1"/>
    <col min="37" max="37" width="3" customWidth="1"/>
    <col min="39" max="39" width="3" customWidth="1"/>
    <col min="40" max="40" width="1.28515625" customWidth="1"/>
    <col min="42" max="47" width="3.28515625" customWidth="1"/>
    <col min="48" max="48" width="3.7109375" hidden="1" customWidth="1"/>
    <col min="49" max="53" width="17.28515625" hidden="1" customWidth="1"/>
    <col min="54" max="60" width="3.28515625" customWidth="1"/>
    <col min="61" max="67" width="2.140625" customWidth="1"/>
  </cols>
  <sheetData>
    <row r="1" spans="2:51" ht="6" customHeight="1" x14ac:dyDescent="0.25"/>
    <row r="2" spans="2:51" ht="16.5" customHeight="1" x14ac:dyDescent="0.25">
      <c r="M2" s="121" t="s">
        <v>114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49"/>
      <c r="AH2" s="49"/>
      <c r="AI2" s="49"/>
      <c r="AJ2" s="49"/>
      <c r="AK2" s="129" t="s">
        <v>117</v>
      </c>
      <c r="AL2" s="129"/>
      <c r="AM2" s="129"/>
      <c r="AN2" s="49"/>
      <c r="AW2" s="39" t="s">
        <v>97</v>
      </c>
      <c r="AY2" s="39" t="s">
        <v>58</v>
      </c>
    </row>
    <row r="3" spans="2:51" ht="11.25" customHeight="1" x14ac:dyDescent="0.25">
      <c r="L3" s="49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49"/>
      <c r="AH3" s="49"/>
      <c r="AI3" s="49"/>
      <c r="AJ3" s="49"/>
      <c r="AK3" s="49"/>
      <c r="AL3" s="49"/>
      <c r="AM3" s="49"/>
      <c r="AN3" s="49"/>
      <c r="AW3" s="39">
        <f>IF(F26="Montaggio su tetto a falda",1,0)+IF(F26="Montaggio su tetto a falda Integrato",2,0)+IF(F26="Montaggio su struttura inclinata",3,0)+IF(F26="Montaggio su inseguitore solare",4,0)</f>
        <v>1</v>
      </c>
      <c r="AX3">
        <f>CHOOSE(AW3,'Pagina di calcolo'!D4,'Pagina di calcolo'!D5,'Pagina di calcolo'!D6,'Pagina di calcolo'!D7)</f>
        <v>35</v>
      </c>
      <c r="AY3" s="39">
        <f>AJ12+AX3</f>
        <v>70</v>
      </c>
    </row>
    <row r="4" spans="2:51" ht="15.75" customHeight="1" x14ac:dyDescent="0.25">
      <c r="M4" s="128" t="s">
        <v>115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5"/>
      <c r="AH4" s="50" t="s">
        <v>116</v>
      </c>
      <c r="AI4" s="15"/>
      <c r="AJ4" s="15"/>
      <c r="AK4" s="15"/>
      <c r="AL4" s="15"/>
      <c r="AM4" s="15"/>
      <c r="AW4" s="39">
        <f>IF(AA26="Montaggio su tetto a falda",1,0)+IF(AA26="Montaggio su tetto a falda Integrato",2,0)+IF(AA26="Montaggio su struttura inclinata",3,0)+IF(AA26="Montaggio su inseguitore solare",4,0)</f>
        <v>1</v>
      </c>
      <c r="AX4">
        <f>CHOOSE(AW4,'Pagina di calcolo'!D4,'Pagina di calcolo'!D5,'Pagina di calcolo'!D6,'Pagina di calcolo'!D7)</f>
        <v>35</v>
      </c>
      <c r="AY4" s="39">
        <f>AJ12+AX4</f>
        <v>70</v>
      </c>
    </row>
    <row r="5" spans="2:51" ht="11.25" customHeight="1" x14ac:dyDescent="0.25"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2:51" ht="19.5" customHeight="1" x14ac:dyDescent="0.25">
      <c r="D6" s="122" t="s">
        <v>46</v>
      </c>
      <c r="E6" s="122"/>
      <c r="F6" s="122"/>
      <c r="G6" s="122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51"/>
      <c r="AL6" s="51"/>
      <c r="AM6" s="51"/>
      <c r="AN6" s="51"/>
    </row>
    <row r="7" spans="2:51" ht="19.5" customHeight="1" x14ac:dyDescent="0.25">
      <c r="D7" s="122"/>
      <c r="E7" s="122"/>
      <c r="F7" s="122"/>
      <c r="G7" s="122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51"/>
      <c r="AL7" s="51"/>
      <c r="AM7" s="51"/>
      <c r="AN7" s="51"/>
    </row>
    <row r="8" spans="2:51" ht="7.5" customHeight="1" x14ac:dyDescent="0.25">
      <c r="G8" s="8"/>
      <c r="H8" s="8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2:51" ht="11.25" customHeight="1" x14ac:dyDescent="0.25">
      <c r="G9" s="8"/>
      <c r="H9" s="8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W9" s="39" t="s">
        <v>95</v>
      </c>
      <c r="AY9" s="39" t="s">
        <v>96</v>
      </c>
    </row>
    <row r="10" spans="2:51" ht="11.25" customHeight="1" x14ac:dyDescent="0.25">
      <c r="B10" s="104" t="s">
        <v>82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AW10" s="39">
        <f>IF(W14=Inverter!C4,1,0)+IF(W14=Inverter!C5,2,0)+IF(W14=Inverter!C6,3,0)+IF(W14=Inverter!C7,4,0)+IF(W14=Inverter!C8,5,0)+IF(W14=Inverter!C9,6,0)+IF(W14=Inverter!C10,7,0)+IF(W14=Inverter!C11,8,0)+IF(W14=Inverter!C12,9,0)+IF(W14=Inverter!C13,10,0)+IF(W14=Inverter!C14,11,0)+IF(W14=Inverter!C15,12,0)+IF(W14=Inverter!C16,13,0)+IF(W14=Inverter!C17,14,0)</f>
        <v>3</v>
      </c>
      <c r="AY10" s="39">
        <f>IF(I29='Moduli Fotovoltaici'!C4,1,0)+IF(I29='Moduli Fotovoltaici'!C5,2,0)+IF(I29='Moduli Fotovoltaici'!C6,3,0)+IF(I29='Moduli Fotovoltaici'!C7,4,0)+IF(I29='Moduli Fotovoltaici'!C8,5,0)+IF(I29='Moduli Fotovoltaici'!C9,6,0)+IF(I29='Moduli Fotovoltaici'!C10,7,0)+IF(I29='Moduli Fotovoltaici'!C11,8,0)+IF(I29='Moduli Fotovoltaici'!C12,9,0)+IF(I29='Moduli Fotovoltaici'!C13,10,0)+IF(I29='Moduli Fotovoltaici'!C14,11,0)+IF(I29='Moduli Fotovoltaici'!C15,12,0)+IF(I29='Moduli Fotovoltaici'!C16,13,0)+IF(I29='Moduli Fotovoltaici'!C17,14,0)+IF(I29='Moduli Fotovoltaici'!C18,15,0)+IF(I29='Moduli Fotovoltaici'!C19,16,0)+IF(I29='Moduli Fotovoltaici'!C20,17,0)+IF(I29='Moduli Fotovoltaici'!C21,18,0)+IF(I29='Moduli Fotovoltaici'!C22,19,0)+IF(I29='Moduli Fotovoltaici'!C23,20,0)</f>
        <v>1</v>
      </c>
    </row>
    <row r="11" spans="2:51" ht="4.5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7"/>
      <c r="Q11" s="27"/>
      <c r="R11" s="27"/>
      <c r="S11" s="2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7"/>
      <c r="AK11" s="27"/>
      <c r="AL11" s="27"/>
      <c r="AM11" s="27"/>
    </row>
    <row r="12" spans="2:51" ht="11.25" customHeight="1" x14ac:dyDescent="0.25">
      <c r="B12" s="90" t="s">
        <v>48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89">
        <v>-5</v>
      </c>
      <c r="Q12" s="89"/>
      <c r="R12" s="89"/>
      <c r="S12" s="89"/>
      <c r="U12" s="88" t="s">
        <v>49</v>
      </c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9">
        <v>35</v>
      </c>
      <c r="AK12" s="89"/>
      <c r="AL12" s="89"/>
      <c r="AM12" s="89"/>
      <c r="AW12" s="38" t="s">
        <v>34</v>
      </c>
      <c r="AY12" s="39" t="s">
        <v>98</v>
      </c>
    </row>
    <row r="13" spans="2:51" ht="11.25" customHeight="1" x14ac:dyDescent="0.25">
      <c r="AW13" s="39">
        <f>CHOOSE($AW10,Inverter!D4,Inverter!D5,Inverter!D6,Inverter!D7,Inverter!D8,Inverter!D9,Inverter!D10,Inverter!D11,Inverter!D12,Inverter!D13,Inverter!D14,Inverter!D15,Inverter!D16,Inverter!D17)</f>
        <v>230</v>
      </c>
      <c r="AY13" s="39">
        <f>IF(AD29='Moduli Fotovoltaici'!C4,1,0)+IF(AD29='Moduli Fotovoltaici'!C5,2,0)+IF(AD29='Moduli Fotovoltaici'!C6,3,0)+IF(AD29='Moduli Fotovoltaici'!C7,4,0)+IF(AD29='Moduli Fotovoltaici'!C8,5,0)+IF(AD29='Moduli Fotovoltaici'!C9,6,0)+IF(AD29='Moduli Fotovoltaici'!C10,7,0)+IF(AD29='Moduli Fotovoltaici'!C11,8,0)+IF(AD29='Moduli Fotovoltaici'!C12,9,0)+IF(AD29='Moduli Fotovoltaici'!C13,10,0)+IF(AD29='Moduli Fotovoltaici'!C14,11,0)+IF(AD29='Moduli Fotovoltaici'!C15,12,0)+IF(AD29='Moduli Fotovoltaici'!C16,13,0)+IF(AD29='Moduli Fotovoltaici'!C17,14,0)+IF(AD29='Moduli Fotovoltaici'!C18,15,0)+IF(AD29='Moduli Fotovoltaici'!C19,16,0)+IF(AD29='Moduli Fotovoltaici'!C20,17,0)+IF(AD29='Moduli Fotovoltaici'!C21,18,0)+IF(AD29='Moduli Fotovoltaici'!C22,19,0)+IF(AD29='Moduli Fotovoltaici'!C23,20,0)</f>
        <v>1</v>
      </c>
    </row>
    <row r="14" spans="2:51" ht="17.25" customHeight="1" x14ac:dyDescent="0.25">
      <c r="B14" s="104" t="s">
        <v>47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91" t="str">
        <f>CHOOSE($AW10,Inverter!B4,Inverter!B5,Inverter!B6,Inverter!B7,Inverter!B8,Inverter!B9,Inverter!B10,Inverter!B11,Inverter!B12,Inverter!B13,Inverter!B14,Inverter!B15,Inverter!B16,Inverter!B17)</f>
        <v>LEDIT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108" t="s">
        <v>292</v>
      </c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W14" s="38" t="s">
        <v>20</v>
      </c>
      <c r="AY14" s="38" t="s">
        <v>4</v>
      </c>
    </row>
    <row r="15" spans="2:51" ht="11.25" customHeight="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W15" s="39">
        <f>CHOOSE($AW10,Inverter!E4,Inverter!E5,Inverter!E6,Inverter!E7,Inverter!E8,Inverter!E9,Inverter!E10,Inverter!E11,Inverter!E12,Inverter!E13,Inverter!E14,Inverter!E15,Inverter!E16,Inverter!E17)</f>
        <v>6000</v>
      </c>
      <c r="AY15" s="39">
        <f>CHOOSE($AY10,'Moduli Fotovoltaici'!D4,'Moduli Fotovoltaici'!D5,'Moduli Fotovoltaici'!D6,'Moduli Fotovoltaici'!D7,'Moduli Fotovoltaici'!D8,'Moduli Fotovoltaici'!D9,'Moduli Fotovoltaici'!D10,'Moduli Fotovoltaici'!D11,'Moduli Fotovoltaici'!D12,'Moduli Fotovoltaici'!D13,'Moduli Fotovoltaici'!D14,'Moduli Fotovoltaici'!D15,'Moduli Fotovoltaici'!D16,'Moduli Fotovoltaici'!D17,'Moduli Fotovoltaici'!D18,'Moduli Fotovoltaici'!D19,'Moduli Fotovoltaici'!D20)</f>
        <v>430</v>
      </c>
    </row>
    <row r="16" spans="2:51" ht="11.25" customHeight="1" x14ac:dyDescent="0.25">
      <c r="B16" s="98" t="s">
        <v>67</v>
      </c>
      <c r="C16" s="98"/>
      <c r="D16" s="98"/>
      <c r="E16" s="98"/>
      <c r="F16" s="98"/>
      <c r="G16" s="106">
        <f>AW13</f>
        <v>230</v>
      </c>
      <c r="H16" s="106"/>
      <c r="I16" s="106"/>
      <c r="J16" s="106"/>
      <c r="K16" s="17"/>
      <c r="L16" s="98" t="s">
        <v>68</v>
      </c>
      <c r="M16" s="98"/>
      <c r="N16" s="98"/>
      <c r="O16" s="98"/>
      <c r="P16" s="98"/>
      <c r="Q16" s="98"/>
      <c r="R16" s="107">
        <f>AW15</f>
        <v>6000</v>
      </c>
      <c r="S16" s="107"/>
      <c r="T16" s="107"/>
      <c r="U16" s="107"/>
      <c r="V16" s="18"/>
      <c r="W16" s="98" t="s">
        <v>69</v>
      </c>
      <c r="X16" s="98"/>
      <c r="Y16" s="98"/>
      <c r="Z16" s="98"/>
      <c r="AA16" s="98"/>
      <c r="AB16" s="98"/>
      <c r="AC16" s="107">
        <f>AW17</f>
        <v>6000</v>
      </c>
      <c r="AD16" s="107"/>
      <c r="AE16" s="107"/>
      <c r="AF16" s="107"/>
      <c r="AG16" s="19"/>
      <c r="AH16" s="99" t="str">
        <f>AW19</f>
        <v>Monofase</v>
      </c>
      <c r="AI16" s="99"/>
      <c r="AJ16" s="99"/>
      <c r="AK16" s="99"/>
      <c r="AL16" s="99"/>
      <c r="AM16" s="99"/>
      <c r="AW16" s="38" t="s">
        <v>21</v>
      </c>
      <c r="AY16" s="39">
        <f>CHOOSE($AY13,'Moduli Fotovoltaici'!D4,'Moduli Fotovoltaici'!D5,'Moduli Fotovoltaici'!D6,'Moduli Fotovoltaici'!D7,'Moduli Fotovoltaici'!D8,'Moduli Fotovoltaici'!D9,'Moduli Fotovoltaici'!D10,'Moduli Fotovoltaici'!D11,'Moduli Fotovoltaici'!D12,'Moduli Fotovoltaici'!D13,'Moduli Fotovoltaici'!D14,'Moduli Fotovoltaici'!D15,'Moduli Fotovoltaici'!D16,'Moduli Fotovoltaici'!D17,'Moduli Fotovoltaici'!D18,'Moduli Fotovoltaici'!D19,'Moduli Fotovoltaici'!D20)</f>
        <v>430</v>
      </c>
    </row>
    <row r="17" spans="1:51" ht="3" customHeight="1" x14ac:dyDescent="0.25">
      <c r="G17" s="16"/>
      <c r="H17" s="16"/>
      <c r="I17" s="16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W17" s="39">
        <f>CHOOSE($AW10,Inverter!F4,Inverter!F5,Inverter!F6,Inverter!F7,Inverter!F8,Inverter!F9,Inverter!F10,Inverter!F11,Inverter!F12,Inverter!F13,Inverter!F14,Inverter!F15,Inverter!F16,Inverter!F17)</f>
        <v>6000</v>
      </c>
      <c r="AY17" s="38" t="s">
        <v>5</v>
      </c>
    </row>
    <row r="18" spans="1:51" ht="16.149999999999999" customHeight="1" x14ac:dyDescent="0.25">
      <c r="B18" s="98" t="s">
        <v>70</v>
      </c>
      <c r="C18" s="98"/>
      <c r="D18" s="98"/>
      <c r="E18" s="98"/>
      <c r="F18" s="98"/>
      <c r="G18" s="114">
        <f>AW21</f>
        <v>26.1</v>
      </c>
      <c r="H18" s="114"/>
      <c r="I18" s="114"/>
      <c r="J18" s="114"/>
      <c r="K18" s="17"/>
      <c r="L18" s="98" t="s">
        <v>71</v>
      </c>
      <c r="M18" s="98"/>
      <c r="N18" s="98"/>
      <c r="O18" s="98"/>
      <c r="P18" s="98"/>
      <c r="Q18" s="98"/>
      <c r="R18" s="113">
        <f>AW23</f>
        <v>550</v>
      </c>
      <c r="S18" s="113"/>
      <c r="T18" s="113"/>
      <c r="U18" s="113"/>
      <c r="W18" s="127" t="s">
        <v>72</v>
      </c>
      <c r="X18" s="127"/>
      <c r="Y18" s="127"/>
      <c r="Z18" s="127"/>
      <c r="AA18" s="127"/>
      <c r="AB18" s="127"/>
      <c r="AC18" s="113">
        <f>AW25</f>
        <v>550</v>
      </c>
      <c r="AD18" s="113"/>
      <c r="AE18" s="113"/>
      <c r="AF18" s="113"/>
      <c r="AG18" s="19"/>
      <c r="AH18" s="98" t="s">
        <v>79</v>
      </c>
      <c r="AI18" s="98"/>
      <c r="AJ18" s="98"/>
      <c r="AK18" s="98"/>
      <c r="AL18" s="99">
        <f>AW41</f>
        <v>2</v>
      </c>
      <c r="AM18" s="99"/>
      <c r="AW18" s="38" t="s">
        <v>22</v>
      </c>
      <c r="AY18" s="39">
        <f>CHOOSE($AY10,'Moduli Fotovoltaici'!E4,'Moduli Fotovoltaici'!E5,'Moduli Fotovoltaici'!E6,'Moduli Fotovoltaici'!E7,'Moduli Fotovoltaici'!E8,'Moduli Fotovoltaici'!E9,'Moduli Fotovoltaici'!E10,'Moduli Fotovoltaici'!E11,'Moduli Fotovoltaici'!E12,'Moduli Fotovoltaici'!E13,'Moduli Fotovoltaici'!E14,'Moduli Fotovoltaici'!E15,'Moduli Fotovoltaici'!E16,'Moduli Fotovoltaici'!E17,'Moduli Fotovoltaici'!E18,'Moduli Fotovoltaici'!E19,'Moduli Fotovoltaici'!E20)</f>
        <v>38.07</v>
      </c>
    </row>
    <row r="19" spans="1:51" ht="3.6" customHeight="1" x14ac:dyDescent="0.25">
      <c r="B19" s="21"/>
      <c r="C19" s="21"/>
      <c r="D19" s="21"/>
      <c r="E19" s="21"/>
      <c r="F19" s="21"/>
      <c r="G19" s="23"/>
      <c r="H19" s="23"/>
      <c r="I19" s="23"/>
      <c r="J19" s="23"/>
      <c r="K19" s="17"/>
      <c r="L19" s="20"/>
      <c r="M19" s="20"/>
      <c r="N19" s="20"/>
      <c r="O19" s="20"/>
      <c r="P19" s="20"/>
      <c r="Q19" s="20"/>
      <c r="R19" s="20"/>
      <c r="S19" s="24"/>
      <c r="T19" s="24"/>
      <c r="U19" s="24"/>
      <c r="V19" s="24"/>
      <c r="W19" s="22"/>
      <c r="X19" s="21"/>
      <c r="Y19" s="21"/>
      <c r="Z19" s="21"/>
      <c r="AA19" s="21"/>
      <c r="AB19" s="21"/>
      <c r="AC19" s="24"/>
      <c r="AD19" s="24"/>
      <c r="AE19" s="24"/>
      <c r="AF19" s="24"/>
      <c r="AG19" s="19"/>
      <c r="AH19" s="21"/>
      <c r="AI19" s="21"/>
      <c r="AJ19" s="21"/>
      <c r="AK19" s="21"/>
      <c r="AL19" s="21"/>
      <c r="AM19" s="19"/>
      <c r="AW19" s="39" t="str">
        <f>CHOOSE($AW10,Inverter!G4,Inverter!G5,Inverter!G6,Inverter!G7,Inverter!G8,Inverter!G9,Inverter!G10,Inverter!G11,Inverter!G12,Inverter!G13,Inverter!G14,Inverter!G15,Inverter!G16,Inverter!G17)</f>
        <v>Monofase</v>
      </c>
      <c r="AY19" s="39">
        <f>CHOOSE($AY13,'Moduli Fotovoltaici'!E4,'Moduli Fotovoltaici'!E5,'Moduli Fotovoltaici'!E6,'Moduli Fotovoltaici'!E7,'Moduli Fotovoltaici'!E8,'Moduli Fotovoltaici'!E9,'Moduli Fotovoltaici'!E10,'Moduli Fotovoltaici'!E11,'Moduli Fotovoltaici'!E12,'Moduli Fotovoltaici'!E13,'Moduli Fotovoltaici'!E14,'Moduli Fotovoltaici'!E15,'Moduli Fotovoltaici'!E16,'Moduli Fotovoltaici'!E17,'Moduli Fotovoltaici'!E18,'Moduli Fotovoltaici'!E19,'Moduli Fotovoltaici'!E20)</f>
        <v>38.07</v>
      </c>
    </row>
    <row r="20" spans="1:51" ht="16.149999999999999" customHeight="1" x14ac:dyDescent="0.25">
      <c r="B20" s="98" t="s">
        <v>73</v>
      </c>
      <c r="C20" s="98"/>
      <c r="D20" s="98"/>
      <c r="E20" s="98"/>
      <c r="F20" s="98"/>
      <c r="G20" s="113">
        <f>AW27</f>
        <v>100</v>
      </c>
      <c r="H20" s="113"/>
      <c r="I20" s="113"/>
      <c r="J20" s="113"/>
      <c r="K20" s="17"/>
      <c r="L20" s="98" t="s">
        <v>74</v>
      </c>
      <c r="M20" s="98"/>
      <c r="N20" s="98"/>
      <c r="O20" s="98"/>
      <c r="P20" s="98"/>
      <c r="Q20" s="98"/>
      <c r="R20" s="113">
        <f>AW29</f>
        <v>115</v>
      </c>
      <c r="S20" s="113"/>
      <c r="T20" s="113"/>
      <c r="U20" s="113"/>
      <c r="V20" s="24"/>
      <c r="W20" s="97" t="s">
        <v>75</v>
      </c>
      <c r="X20" s="97"/>
      <c r="Y20" s="97"/>
      <c r="Z20" s="97"/>
      <c r="AA20" s="97"/>
      <c r="AB20" s="97"/>
      <c r="AC20" s="114">
        <f>AW31</f>
        <v>20</v>
      </c>
      <c r="AD20" s="114"/>
      <c r="AE20" s="114"/>
      <c r="AF20" s="114"/>
      <c r="AG20" s="19"/>
      <c r="AH20" s="98" t="s">
        <v>28</v>
      </c>
      <c r="AI20" s="98"/>
      <c r="AJ20" s="98"/>
      <c r="AK20" s="98"/>
      <c r="AL20" s="100">
        <f>AW43</f>
        <v>0.96</v>
      </c>
      <c r="AM20" s="100"/>
      <c r="AW20" s="38" t="s">
        <v>35</v>
      </c>
      <c r="AY20" s="38" t="s">
        <v>6</v>
      </c>
    </row>
    <row r="21" spans="1:51" ht="4.1500000000000004" customHeight="1" x14ac:dyDescent="0.25">
      <c r="B21" s="25"/>
      <c r="C21" s="25"/>
      <c r="D21" s="25"/>
      <c r="E21" s="25"/>
      <c r="F21" s="25"/>
      <c r="G21" s="24"/>
      <c r="H21" s="24"/>
      <c r="I21" s="24"/>
      <c r="J21" s="24"/>
      <c r="K21" s="17"/>
      <c r="L21" s="25"/>
      <c r="M21" s="25"/>
      <c r="N21" s="25"/>
      <c r="O21" s="25"/>
      <c r="P21" s="25"/>
      <c r="Q21" s="25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3"/>
      <c r="AD21" s="23"/>
      <c r="AE21" s="23"/>
      <c r="AF21" s="23"/>
      <c r="AG21" s="19"/>
      <c r="AH21" s="21"/>
      <c r="AI21" s="21"/>
      <c r="AJ21" s="21"/>
      <c r="AK21" s="21"/>
      <c r="AL21" s="21"/>
      <c r="AM21" s="19"/>
      <c r="AW21" s="39">
        <f>CHOOSE($AW10,Inverter!H4,Inverter!H5,Inverter!H6,Inverter!H7,Inverter!H8,Inverter!H9,Inverter!H10,Inverter!H11,Inverter!H12,Inverter!H13,Inverter!H14,Inverter!H15,Inverter!H16,Inverter!H17)</f>
        <v>26.1</v>
      </c>
      <c r="AY21" s="39">
        <f>CHOOSE($AY10,'Moduli Fotovoltaici'!F4,'Moduli Fotovoltaici'!F5,'Moduli Fotovoltaici'!F6,'Moduli Fotovoltaici'!F7,'Moduli Fotovoltaici'!F8,'Moduli Fotovoltaici'!F9,'Moduli Fotovoltaici'!F10,'Moduli Fotovoltaici'!F11,'Moduli Fotovoltaici'!F12,'Moduli Fotovoltaici'!F13,'Moduli Fotovoltaici'!F14,'Moduli Fotovoltaici'!F15,'Moduli Fotovoltaici'!F16,'Moduli Fotovoltaici'!F17,'Moduli Fotovoltaici'!F18,'Moduli Fotovoltaici'!F19,'Moduli Fotovoltaici'!F20)</f>
        <v>32.49</v>
      </c>
    </row>
    <row r="22" spans="1:51" ht="16.149999999999999" customHeight="1" x14ac:dyDescent="0.25">
      <c r="B22" s="98" t="s">
        <v>76</v>
      </c>
      <c r="C22" s="98"/>
      <c r="D22" s="98"/>
      <c r="E22" s="98"/>
      <c r="F22" s="98"/>
      <c r="G22" s="87">
        <f>AW35</f>
        <v>4000</v>
      </c>
      <c r="H22" s="87"/>
      <c r="I22" s="87"/>
      <c r="J22" s="87"/>
      <c r="K22" s="26"/>
      <c r="L22" s="98" t="s">
        <v>77</v>
      </c>
      <c r="M22" s="98"/>
      <c r="N22" s="98"/>
      <c r="O22" s="98"/>
      <c r="P22" s="98"/>
      <c r="Q22" s="98"/>
      <c r="R22" s="87">
        <f>AW37</f>
        <v>4000</v>
      </c>
      <c r="S22" s="87"/>
      <c r="T22" s="87"/>
      <c r="U22" s="87"/>
      <c r="V22" s="24"/>
      <c r="W22" s="97" t="s">
        <v>78</v>
      </c>
      <c r="X22" s="97"/>
      <c r="Y22" s="97"/>
      <c r="Z22" s="97"/>
      <c r="AA22" s="97"/>
      <c r="AB22" s="97"/>
      <c r="AC22" s="87">
        <f>AW39</f>
        <v>8000</v>
      </c>
      <c r="AD22" s="87"/>
      <c r="AE22" s="87"/>
      <c r="AF22" s="87"/>
      <c r="AG22" s="19"/>
      <c r="AH22" s="21"/>
      <c r="AI22" s="21"/>
      <c r="AJ22" s="21"/>
      <c r="AK22" s="21"/>
      <c r="AL22" s="21"/>
      <c r="AM22" s="19"/>
      <c r="AW22" s="38" t="s">
        <v>23</v>
      </c>
      <c r="AY22" s="39">
        <f>CHOOSE($AY13,'Moduli Fotovoltaici'!F4,'Moduli Fotovoltaici'!F5,'Moduli Fotovoltaici'!F6,'Moduli Fotovoltaici'!F7,'Moduli Fotovoltaici'!F8,'Moduli Fotovoltaici'!F9,'Moduli Fotovoltaici'!F10,'Moduli Fotovoltaici'!F11,'Moduli Fotovoltaici'!F12,'Moduli Fotovoltaici'!F13,'Moduli Fotovoltaici'!F14,'Moduli Fotovoltaici'!F15,'Moduli Fotovoltaici'!F16,'Moduli Fotovoltaici'!F17,'Moduli Fotovoltaici'!F18,'Moduli Fotovoltaici'!F19,'Moduli Fotovoltaici'!F20)</f>
        <v>32.49</v>
      </c>
    </row>
    <row r="23" spans="1:51" ht="12" customHeight="1" x14ac:dyDescent="0.25">
      <c r="AW23" s="39">
        <f>CHOOSE($AW10,Inverter!I4,Inverter!I5,Inverter!I6,Inverter!I7,Inverter!I8,Inverter!I9,Inverter!I10,Inverter!I11,Inverter!I12,Inverter!I13,Inverter!I14,Inverter!I15,Inverter!I16,Inverter!I17)</f>
        <v>550</v>
      </c>
      <c r="AY23" s="38" t="s">
        <v>10</v>
      </c>
    </row>
    <row r="24" spans="1:51" ht="16.149999999999999" customHeight="1" x14ac:dyDescent="0.25">
      <c r="AW24" s="38" t="s">
        <v>24</v>
      </c>
      <c r="AY24" s="39">
        <f>CHOOSE($AY10,'Moduli Fotovoltaici'!G4,'Moduli Fotovoltaici'!G5,'Moduli Fotovoltaici'!G6,'Moduli Fotovoltaici'!G7,'Moduli Fotovoltaici'!G8,'Moduli Fotovoltaici'!G9,'Moduli Fotovoltaici'!G10,'Moduli Fotovoltaici'!G11,'Moduli Fotovoltaici'!G12,'Moduli Fotovoltaici'!G13,'Moduli Fotovoltaici'!G14,'Moduli Fotovoltaici'!G15,'Moduli Fotovoltaici'!G16,'Moduli Fotovoltaici'!G17,'Moduli Fotovoltaici'!G18,'Moduli Fotovoltaici'!G19,'Moduli Fotovoltaici'!G20)</f>
        <v>14</v>
      </c>
    </row>
    <row r="25" spans="1:51" ht="16.149999999999999" customHeight="1" x14ac:dyDescent="0.25">
      <c r="A25" s="112" t="s">
        <v>80</v>
      </c>
      <c r="B25" s="112"/>
      <c r="C25" s="112"/>
      <c r="D25" s="112"/>
      <c r="E25" s="112"/>
      <c r="F25" s="105" t="s">
        <v>38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U25" s="112" t="s">
        <v>81</v>
      </c>
      <c r="V25" s="112"/>
      <c r="W25" s="112"/>
      <c r="X25" s="112"/>
      <c r="Y25" s="112"/>
      <c r="Z25" s="112"/>
      <c r="AA25" s="105" t="s">
        <v>38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W25" s="39">
        <f>CHOOSE($AW10,Inverter!J4,Inverter!J5,Inverter!J6,Inverter!J7,Inverter!J8,Inverter!J9,Inverter!J10,Inverter!J11,Inverter!J12,Inverter!J13,Inverter!J14,Inverter!J15,Inverter!J16,Inverter!J17)</f>
        <v>550</v>
      </c>
      <c r="AY25" s="39">
        <f>CHOOSE($AY13,'Moduli Fotovoltaici'!G4,'Moduli Fotovoltaici'!G5,'Moduli Fotovoltaici'!G6,'Moduli Fotovoltaici'!G7,'Moduli Fotovoltaici'!G8,'Moduli Fotovoltaici'!G9,'Moduli Fotovoltaici'!G10,'Moduli Fotovoltaici'!G11,'Moduli Fotovoltaici'!G12,'Moduli Fotovoltaici'!G13,'Moduli Fotovoltaici'!G14,'Moduli Fotovoltaici'!G15,'Moduli Fotovoltaici'!G16,'Moduli Fotovoltaici'!G17,'Moduli Fotovoltaici'!G18,'Moduli Fotovoltaici'!G19,'Moduli Fotovoltaici'!G20)</f>
        <v>14</v>
      </c>
    </row>
    <row r="26" spans="1:51" ht="11.25" customHeight="1" x14ac:dyDescent="0.25">
      <c r="A26" s="112"/>
      <c r="B26" s="112"/>
      <c r="C26" s="112"/>
      <c r="D26" s="112"/>
      <c r="E26" s="112"/>
      <c r="F26" s="89" t="s">
        <v>39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U26" s="112"/>
      <c r="V26" s="112"/>
      <c r="W26" s="112"/>
      <c r="X26" s="112"/>
      <c r="Y26" s="112"/>
      <c r="Z26" s="112"/>
      <c r="AA26" s="89" t="s">
        <v>39</v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W26" s="38" t="s">
        <v>25</v>
      </c>
      <c r="AY26" s="38" t="s">
        <v>11</v>
      </c>
    </row>
    <row r="27" spans="1:51" ht="2.25" customHeight="1" x14ac:dyDescent="0.25">
      <c r="AW27" s="39">
        <f>CHOOSE($AW10,Inverter!K4,Inverter!K5,Inverter!K6,Inverter!K7,Inverter!K8,Inverter!K9,Inverter!K10,Inverter!K11,Inverter!K12,Inverter!K13,Inverter!K14,Inverter!K15,Inverter!K16,Inverter!K17)</f>
        <v>100</v>
      </c>
      <c r="AY27" s="39">
        <f>CHOOSE($AY10,'Moduli Fotovoltaici'!H4,'Moduli Fotovoltaici'!H5,'Moduli Fotovoltaici'!H6,'Moduli Fotovoltaici'!H7,'Moduli Fotovoltaici'!H8,'Moduli Fotovoltaici'!H9,'Moduli Fotovoltaici'!H10,'Moduli Fotovoltaici'!H11,'Moduli Fotovoltaici'!H12,'Moduli Fotovoltaici'!H13,'Moduli Fotovoltaici'!H14,'Moduli Fotovoltaici'!H15,'Moduli Fotovoltaici'!H16,'Moduli Fotovoltaici'!H17,'Moduli Fotovoltaici'!H18,'Moduli Fotovoltaici'!H19,'Moduli Fotovoltaici'!H20)</f>
        <v>13.24</v>
      </c>
    </row>
    <row r="28" spans="1:51" ht="11.25" customHeight="1" x14ac:dyDescent="0.25">
      <c r="B28" s="11" t="s">
        <v>50</v>
      </c>
      <c r="W28" s="11" t="s">
        <v>50</v>
      </c>
      <c r="AR28" s="6"/>
      <c r="AW28" s="38" t="s">
        <v>26</v>
      </c>
      <c r="AY28" s="39">
        <f>CHOOSE($AY13,'Moduli Fotovoltaici'!H4,'Moduli Fotovoltaici'!H5,'Moduli Fotovoltaici'!H6,'Moduli Fotovoltaici'!H7,'Moduli Fotovoltaici'!H8,'Moduli Fotovoltaici'!H9,'Moduli Fotovoltaici'!H10,'Moduli Fotovoltaici'!H11,'Moduli Fotovoltaici'!H12,'Moduli Fotovoltaici'!H13,'Moduli Fotovoltaici'!H14,'Moduli Fotovoltaici'!H15,'Moduli Fotovoltaici'!H16,'Moduli Fotovoltaici'!H17,'Moduli Fotovoltaici'!H18,'Moduli Fotovoltaici'!H19,'Moduli Fotovoltaici'!H20)</f>
        <v>13.24</v>
      </c>
    </row>
    <row r="29" spans="1:51" ht="11.25" customHeight="1" x14ac:dyDescent="0.25">
      <c r="B29" s="115" t="str">
        <f>CHOOSE($AY10,'Moduli Fotovoltaici'!B4,'Moduli Fotovoltaici'!B5,'Moduli Fotovoltaici'!B6,'Moduli Fotovoltaici'!B7,'Moduli Fotovoltaici'!B8,'Moduli Fotovoltaici'!B9,'Moduli Fotovoltaici'!B10,'Moduli Fotovoltaici'!B11,'Moduli Fotovoltaici'!B12,'Moduli Fotovoltaici'!B13,'Moduli Fotovoltaici'!B14,'Moduli Fotovoltaici'!B15,'Moduli Fotovoltaici'!B16,'Moduli Fotovoltaici'!B17,'Moduli Fotovoltaici'!B18,'Moduli Fotovoltaici'!B19,'Moduli Fotovoltaici'!B20)</f>
        <v>LEDIT</v>
      </c>
      <c r="C29" s="115"/>
      <c r="D29" s="115"/>
      <c r="E29" s="115"/>
      <c r="F29" s="115"/>
      <c r="G29" s="115"/>
      <c r="H29" s="115"/>
      <c r="I29" s="89" t="s">
        <v>337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W29" s="115" t="str">
        <f>CHOOSE($AY13,'Moduli Fotovoltaici'!B4,'Moduli Fotovoltaici'!B5,'Moduli Fotovoltaici'!B6,'Moduli Fotovoltaici'!B7,'Moduli Fotovoltaici'!B8,'Moduli Fotovoltaici'!B9,'Moduli Fotovoltaici'!B10,'Moduli Fotovoltaici'!B11,'Moduli Fotovoltaici'!B12,'Moduli Fotovoltaici'!B13,'Moduli Fotovoltaici'!B14,'Moduli Fotovoltaici'!B15,'Moduli Fotovoltaici'!B16,'Moduli Fotovoltaici'!B17,'Moduli Fotovoltaici'!B18,'Moduli Fotovoltaici'!B19,'Moduli Fotovoltaici'!B20)</f>
        <v>LEDIT</v>
      </c>
      <c r="X29" s="115"/>
      <c r="Y29" s="115"/>
      <c r="Z29" s="115"/>
      <c r="AA29" s="115"/>
      <c r="AB29" s="115"/>
      <c r="AC29" s="115"/>
      <c r="AD29" s="89" t="s">
        <v>337</v>
      </c>
      <c r="AE29" s="89"/>
      <c r="AF29" s="89"/>
      <c r="AG29" s="89"/>
      <c r="AH29" s="89"/>
      <c r="AI29" s="89"/>
      <c r="AJ29" s="89"/>
      <c r="AK29" s="89"/>
      <c r="AL29" s="89"/>
      <c r="AM29" s="89"/>
      <c r="AN29" s="10"/>
      <c r="AW29" s="39">
        <f>CHOOSE($AW10,Inverter!L4,Inverter!L5,Inverter!L6,Inverter!L7,Inverter!L8,Inverter!L9,Inverter!L10,Inverter!L11,Inverter!L12,Inverter!L13,Inverter!L14,Inverter!L15,Inverter!L16,Inverter!L17)</f>
        <v>115</v>
      </c>
      <c r="AY29" s="38" t="s">
        <v>12</v>
      </c>
    </row>
    <row r="30" spans="1:51" ht="2.25" customHeight="1" x14ac:dyDescent="0.25">
      <c r="AW30" s="38" t="s">
        <v>27</v>
      </c>
      <c r="AY30" s="39">
        <f>CHOOSE($AY10,'Moduli Fotovoltaici'!I4,'Moduli Fotovoltaici'!I5,'Moduli Fotovoltaici'!I6,'Moduli Fotovoltaici'!I7,'Moduli Fotovoltaici'!I8,'Moduli Fotovoltaici'!I9,'Moduli Fotovoltaici'!I10,'Moduli Fotovoltaici'!I11,'Moduli Fotovoltaici'!I12,'Moduli Fotovoltaici'!I13,'Moduli Fotovoltaici'!I14,'Moduli Fotovoltaici'!I15,'Moduli Fotovoltaici'!I16,'Moduli Fotovoltaici'!I17,'Moduli Fotovoltaici'!I18,'Moduli Fotovoltaici'!I19,'Moduli Fotovoltaici'!I20)</f>
        <v>-0.26</v>
      </c>
    </row>
    <row r="31" spans="1:51" ht="11.25" customHeight="1" x14ac:dyDescent="0.25">
      <c r="B31" s="116" t="s">
        <v>51</v>
      </c>
      <c r="C31" s="116"/>
      <c r="D31" s="116"/>
      <c r="E31" s="116"/>
      <c r="F31" s="116"/>
      <c r="G31" s="116"/>
      <c r="H31" s="116"/>
      <c r="I31" s="116"/>
      <c r="K31" s="116" t="s">
        <v>52</v>
      </c>
      <c r="L31" s="116"/>
      <c r="M31" s="116"/>
      <c r="N31" s="116"/>
      <c r="O31" s="116"/>
      <c r="P31" s="116"/>
      <c r="Q31" s="116"/>
      <c r="R31" s="116"/>
      <c r="S31" s="116"/>
      <c r="W31" s="9" t="s">
        <v>51</v>
      </c>
      <c r="AE31" s="116" t="s">
        <v>52</v>
      </c>
      <c r="AF31" s="116"/>
      <c r="AG31" s="116"/>
      <c r="AH31" s="116"/>
      <c r="AI31" s="116"/>
      <c r="AJ31" s="116"/>
      <c r="AK31" s="116"/>
      <c r="AL31" s="116"/>
      <c r="AM31" s="116"/>
      <c r="AW31" s="39">
        <f>CHOOSE($AW10,Inverter!M4,Inverter!M5,Inverter!M6,Inverter!M7,Inverter!M8,Inverter!M9,Inverter!M10,Inverter!M11,Inverter!M12,Inverter!M13,Inverter!M14,Inverter!M15,Inverter!M16,Inverter!M17)</f>
        <v>20</v>
      </c>
      <c r="AY31" s="39">
        <f>CHOOSE($AY13,'Moduli Fotovoltaici'!I4,'Moduli Fotovoltaici'!I5,'Moduli Fotovoltaici'!I6,'Moduli Fotovoltaici'!I7,'Moduli Fotovoltaici'!I8,'Moduli Fotovoltaici'!I9,'Moduli Fotovoltaici'!I10,'Moduli Fotovoltaici'!I11,'Moduli Fotovoltaici'!I12,'Moduli Fotovoltaici'!I13,'Moduli Fotovoltaici'!I14,'Moduli Fotovoltaici'!I15,'Moduli Fotovoltaici'!I16,'Moduli Fotovoltaici'!I17,'Moduli Fotovoltaici'!I18,'Moduli Fotovoltaici'!I19,'Moduli Fotovoltaici'!I20)</f>
        <v>-0.26</v>
      </c>
    </row>
    <row r="32" spans="1:51" ht="11.25" customHeight="1" x14ac:dyDescent="0.25">
      <c r="B32" s="89">
        <v>13</v>
      </c>
      <c r="C32" s="89"/>
      <c r="D32" s="89"/>
      <c r="E32" s="89"/>
      <c r="F32" s="89"/>
      <c r="G32" s="89"/>
      <c r="H32" s="89"/>
      <c r="I32" s="89"/>
      <c r="K32" s="89">
        <v>1</v>
      </c>
      <c r="L32" s="89"/>
      <c r="M32" s="89"/>
      <c r="N32" s="89"/>
      <c r="O32" s="89"/>
      <c r="P32" s="89"/>
      <c r="Q32" s="89"/>
      <c r="R32" s="89"/>
      <c r="S32" s="89"/>
      <c r="W32" s="89">
        <v>12</v>
      </c>
      <c r="X32" s="89"/>
      <c r="Y32" s="89"/>
      <c r="Z32" s="89"/>
      <c r="AA32" s="89"/>
      <c r="AB32" s="89"/>
      <c r="AC32" s="89"/>
      <c r="AE32" s="89">
        <v>1</v>
      </c>
      <c r="AF32" s="89"/>
      <c r="AG32" s="89"/>
      <c r="AH32" s="89"/>
      <c r="AI32" s="89"/>
      <c r="AJ32" s="89"/>
      <c r="AK32" s="89"/>
      <c r="AL32" s="89"/>
      <c r="AM32" s="89"/>
      <c r="AW32" s="38" t="s">
        <v>120</v>
      </c>
      <c r="AY32" s="38" t="s">
        <v>13</v>
      </c>
    </row>
    <row r="33" spans="2:53" ht="4.5" customHeight="1" x14ac:dyDescent="0.25">
      <c r="AW33" s="1">
        <f>CHOOSE($AW10,Inverter!N4,Inverter!N5,Inverter!N6,Inverter!N7,Inverter!N8,Inverter!N9,Inverter!N10,Inverter!N11,Inverter!N12,Inverter!N13,Inverter!N14,Inverter!N15,Inverter!N16,Inverter!N17)</f>
        <v>22</v>
      </c>
      <c r="AY33" s="39">
        <f>CHOOSE($AY10,'Moduli Fotovoltaici'!J4,'Moduli Fotovoltaici'!J5,'Moduli Fotovoltaici'!J6,'Moduli Fotovoltaici'!J7,'Moduli Fotovoltaici'!J8,'Moduli Fotovoltaici'!J9,'Moduli Fotovoltaici'!J10,'Moduli Fotovoltaici'!J11,'Moduli Fotovoltaici'!J12,'Moduli Fotovoltaici'!J13,'Moduli Fotovoltaici'!J14,'Moduli Fotovoltaici'!J15,'Moduli Fotovoltaici'!J16,'Moduli Fotovoltaici'!J17,'Moduli Fotovoltaici'!J18,'Moduli Fotovoltaici'!J19,'Moduli Fotovoltaici'!J20)</f>
        <v>4.5999999999999999E-2</v>
      </c>
      <c r="BA33" s="46"/>
    </row>
    <row r="34" spans="2:53" ht="3.75" customHeight="1" x14ac:dyDescent="0.25">
      <c r="AW34" s="38" t="s">
        <v>31</v>
      </c>
      <c r="AY34" s="39">
        <f>CHOOSE($AY13,'Moduli Fotovoltaici'!J4,'Moduli Fotovoltaici'!J5,'Moduli Fotovoltaici'!J6,'Moduli Fotovoltaici'!J7,'Moduli Fotovoltaici'!J8,'Moduli Fotovoltaici'!J9,'Moduli Fotovoltaici'!J10,'Moduli Fotovoltaici'!J11,'Moduli Fotovoltaici'!J12,'Moduli Fotovoltaici'!J13,'Moduli Fotovoltaici'!J14,'Moduli Fotovoltaici'!J15,'Moduli Fotovoltaici'!J16,'Moduli Fotovoltaici'!J17,'Moduli Fotovoltaici'!J18,'Moduli Fotovoltaici'!J19,'Moduli Fotovoltaici'!J20)</f>
        <v>4.5999999999999999E-2</v>
      </c>
    </row>
    <row r="35" spans="2:53" ht="11.25" customHeight="1" x14ac:dyDescent="0.25">
      <c r="B35" s="102" t="s">
        <v>94</v>
      </c>
      <c r="C35" s="102"/>
      <c r="D35" s="102"/>
      <c r="E35" s="102"/>
      <c r="F35" s="102"/>
      <c r="G35" s="101" t="s">
        <v>4</v>
      </c>
      <c r="H35" s="101"/>
      <c r="I35" s="101"/>
      <c r="J35" s="101"/>
      <c r="K35" s="101"/>
      <c r="L35" s="101"/>
      <c r="M35" s="101"/>
      <c r="N35" s="95">
        <f>B32*K32*AY15</f>
        <v>5590</v>
      </c>
      <c r="O35" s="95"/>
      <c r="P35" s="95"/>
      <c r="Q35" s="95"/>
      <c r="R35" s="95"/>
      <c r="S35" s="30" t="str">
        <f>IF(N35&lt;G22,"OK","")</f>
        <v/>
      </c>
      <c r="U35" s="15"/>
      <c r="W35" s="102" t="s">
        <v>94</v>
      </c>
      <c r="X35" s="102"/>
      <c r="Y35" s="102"/>
      <c r="Z35" s="102"/>
      <c r="AA35" s="102"/>
      <c r="AB35" s="101" t="s">
        <v>4</v>
      </c>
      <c r="AC35" s="101"/>
      <c r="AD35" s="101"/>
      <c r="AE35" s="101"/>
      <c r="AF35" s="101"/>
      <c r="AG35" s="101"/>
      <c r="AH35" s="101"/>
      <c r="AI35" s="95">
        <f>W32*AE32*AY16</f>
        <v>5160</v>
      </c>
      <c r="AJ35" s="95"/>
      <c r="AK35" s="95"/>
      <c r="AL35" s="95"/>
      <c r="AM35" s="30" t="str">
        <f>IF(AI35&lt;R22,"OK","")</f>
        <v/>
      </c>
      <c r="AW35" s="39">
        <f>CHOOSE($AW10,Inverter!O4,Inverter!O5,Inverter!O6,Inverter!O7,Inverter!O8,Inverter!O9,Inverter!O10,Inverter!O11,Inverter!O12,Inverter!O13,Inverter!O14,Inverter!O15,Inverter!O16,Inverter!O17)</f>
        <v>4000</v>
      </c>
      <c r="AY35" s="38" t="s">
        <v>9</v>
      </c>
    </row>
    <row r="36" spans="2:53" ht="13.5" customHeight="1" x14ac:dyDescent="0.25">
      <c r="B36" s="117" t="str">
        <f>(IF(BA44=1,'Pagina di calcolo'!C16,""))</f>
        <v/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W36" s="117" t="str">
        <f>IF(BA43=1,'Pagina di calcolo'!C16,"")</f>
        <v/>
      </c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W36" s="38" t="s">
        <v>32</v>
      </c>
      <c r="AY36" s="39">
        <f>CHOOSE($AY10,'Moduli Fotovoltaici'!K4,'Moduli Fotovoltaici'!K5,'Moduli Fotovoltaici'!K6,'Moduli Fotovoltaici'!K7,'Moduli Fotovoltaici'!K8,'Moduli Fotovoltaici'!K9,'Moduli Fotovoltaici'!K10,'Moduli Fotovoltaici'!K11,'Moduli Fotovoltaici'!K12,'Moduli Fotovoltaici'!K13,'Moduli Fotovoltaici'!K14,'Moduli Fotovoltaici'!K15,'Moduli Fotovoltaici'!K16,'Moduli Fotovoltaici'!K17,'Moduli Fotovoltaici'!K18,'Moduli Fotovoltaici'!K19,'Moduli Fotovoltaici'!K20)</f>
        <v>1500</v>
      </c>
    </row>
    <row r="37" spans="2:53" ht="11.25" customHeight="1" x14ac:dyDescent="0.25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W37" s="39">
        <f>CHOOSE($AW10,Inverter!P4,Inverter!P5,Inverter!P6,Inverter!P7,Inverter!P8,Inverter!P9,Inverter!P10,Inverter!P11,Inverter!P12,Inverter!P13,Inverter!P14,Inverter!P15,Inverter!P16,Inverter!P17)</f>
        <v>4000</v>
      </c>
      <c r="AY37" s="39">
        <f>CHOOSE($AY13,'Moduli Fotovoltaici'!K4,'Moduli Fotovoltaici'!K5,'Moduli Fotovoltaici'!K6,'Moduli Fotovoltaici'!K7,'Moduli Fotovoltaici'!K8,'Moduli Fotovoltaici'!K9,'Moduli Fotovoltaici'!K10,'Moduli Fotovoltaici'!K11,'Moduli Fotovoltaici'!K12,'Moduli Fotovoltaici'!K13,'Moduli Fotovoltaici'!K14,'Moduli Fotovoltaici'!K15,'Moduli Fotovoltaici'!K16,'Moduli Fotovoltaici'!K17,'Moduli Fotovoltaici'!K18,'Moduli Fotovoltaici'!K19,'Moduli Fotovoltaici'!K20)</f>
        <v>1500</v>
      </c>
    </row>
    <row r="38" spans="2:53" ht="11.25" customHeight="1" x14ac:dyDescent="0.25">
      <c r="B38" s="93" t="s">
        <v>55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6">
        <f>(K32*AY27)+((K32*AY27)*(AY68/100))</f>
        <v>13.514068</v>
      </c>
      <c r="P38" s="96"/>
      <c r="Q38" s="96"/>
      <c r="R38" s="96"/>
      <c r="S38" s="30" t="s">
        <v>86</v>
      </c>
      <c r="W38" s="93" t="s">
        <v>55</v>
      </c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6">
        <f>(AE32*AY28)+((AE32*AY28)*(AY69/100))</f>
        <v>13.514068</v>
      </c>
      <c r="AK38" s="96"/>
      <c r="AL38" s="96"/>
      <c r="AM38" s="30" t="s">
        <v>86</v>
      </c>
      <c r="AN38" s="13"/>
      <c r="AW38" s="38" t="s">
        <v>33</v>
      </c>
      <c r="AY38" s="38" t="s">
        <v>16</v>
      </c>
      <c r="BA38" s="45"/>
    </row>
    <row r="39" spans="2:53" ht="11.25" customHeight="1" x14ac:dyDescent="0.25">
      <c r="B39" s="94" t="str">
        <f>IF(O38&gt;AW33,'Pagina di calcolo'!C17,"")</f>
        <v/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W39" s="94" t="str">
        <f>IF(AJ38&gt;AW33,'Pagina di calcolo'!C17,"")</f>
        <v/>
      </c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29"/>
      <c r="AW39" s="39">
        <f>CHOOSE($AW10,Inverter!Q4,Inverter!Q5,Inverter!Q6,Inverter!Q7,Inverter!Q8,Inverter!Q9,Inverter!Q10,Inverter!Q11,Inverter!Q12,Inverter!Q13,Inverter!Q14,Inverter!Q15,Inverter!Q16,Inverter!Q17)</f>
        <v>8000</v>
      </c>
      <c r="AY39" s="39">
        <f>CHOOSE($AY10,'Moduli Fotovoltaici'!L4,'Moduli Fotovoltaici'!L5,'Moduli Fotovoltaici'!L6,'Moduli Fotovoltaici'!L7,'Moduli Fotovoltaici'!L8,'Moduli Fotovoltaici'!L9,'Moduli Fotovoltaici'!L10,'Moduli Fotovoltaici'!L11,'Moduli Fotovoltaici'!L12,'Moduli Fotovoltaici'!L13,'Moduli Fotovoltaici'!L14,'Moduli Fotovoltaici'!L15,'Moduli Fotovoltaici'!L16,'Moduli Fotovoltaici'!L17,'Moduli Fotovoltaici'!L18,'Moduli Fotovoltaici'!L19,'Moduli Fotovoltaici'!L20)</f>
        <v>30</v>
      </c>
    </row>
    <row r="40" spans="2:53" ht="11.25" customHeight="1" x14ac:dyDescent="0.25">
      <c r="B40" s="136" t="s">
        <v>59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11">
        <f>(AY18*B32)+((AY18*B32)*(AW74/100))</f>
        <v>533.51298000000008</v>
      </c>
      <c r="P40" s="111"/>
      <c r="Q40" s="111"/>
      <c r="R40" s="111"/>
      <c r="S40" s="30" t="str">
        <f>IF(O40&gt;R18,"","OK")</f>
        <v>OK</v>
      </c>
      <c r="W40" s="136" t="s">
        <v>59</v>
      </c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11">
        <f>(AY19*W32)+((AY19*W32)*(AW74/100))</f>
        <v>492.47352000000006</v>
      </c>
      <c r="AK40" s="111"/>
      <c r="AL40" s="111"/>
      <c r="AM40" s="30" t="str">
        <f>IF(AJ40&gt;R18,"","OK")</f>
        <v>OK</v>
      </c>
      <c r="AN40" s="14"/>
      <c r="AW40" s="38" t="s">
        <v>29</v>
      </c>
      <c r="AY40" s="39">
        <f>CHOOSE($AY13,'Moduli Fotovoltaici'!L4,'Moduli Fotovoltaici'!L5,'Moduli Fotovoltaici'!L6,'Moduli Fotovoltaici'!L7,'Moduli Fotovoltaici'!L8,'Moduli Fotovoltaici'!L9,'Moduli Fotovoltaici'!L10,'Moduli Fotovoltaici'!L11,'Moduli Fotovoltaici'!L12,'Moduli Fotovoltaici'!L13,'Moduli Fotovoltaici'!L14,'Moduli Fotovoltaici'!L15,'Moduli Fotovoltaici'!L16,'Moduli Fotovoltaici'!L17,'Moduli Fotovoltaici'!L18,'Moduli Fotovoltaici'!L19,'Moduli Fotovoltaici'!L20)</f>
        <v>30</v>
      </c>
    </row>
    <row r="41" spans="2:53" ht="11.25" customHeight="1" x14ac:dyDescent="0.25">
      <c r="B41" s="118" t="str">
        <f>IF(O40&gt;R18,'Pagina di calcolo'!C13,"")</f>
        <v/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W41" s="119" t="str">
        <f>IF(AJ40&gt;R18,'Pagina di calcolo'!C13,"")</f>
        <v/>
      </c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W41" s="39">
        <f>CHOOSE($AW10,Inverter!R4,Inverter!R5,Inverter!R6,Inverter!R7,Inverter!R8,Inverter!R9,Inverter!R10,Inverter!R11,Inverter!R12,Inverter!R13,Inverter!R14,Inverter!R15,Inverter!R16,Inverter!R17)</f>
        <v>2</v>
      </c>
      <c r="AY41" s="38" t="s">
        <v>17</v>
      </c>
    </row>
    <row r="42" spans="2:53" ht="11.25" customHeight="1" x14ac:dyDescent="0.25">
      <c r="B42" s="93" t="s">
        <v>62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111">
        <f>(B32*AY18)+((B32*AY18)*(AY72/100))</f>
        <v>437.00553000000002</v>
      </c>
      <c r="P42" s="111"/>
      <c r="Q42" s="111"/>
      <c r="R42" s="111"/>
      <c r="S42" s="30" t="str">
        <f>IF(O42&lt;R20,"","OK")</f>
        <v>OK</v>
      </c>
      <c r="W42" s="93" t="s">
        <v>62</v>
      </c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11">
        <f>(W32*AY19)+((W32*AY19)*(AY73/100))</f>
        <v>403.38972000000001</v>
      </c>
      <c r="AK42" s="111"/>
      <c r="AL42" s="111"/>
      <c r="AM42" s="30" t="str">
        <f>IF(AJ42&lt;R20,"","OK")</f>
        <v>OK</v>
      </c>
      <c r="AN42" s="14"/>
      <c r="AW42" s="38" t="s">
        <v>28</v>
      </c>
      <c r="AY42" s="39" t="str">
        <f>CHOOSE($AY10,'Moduli Fotovoltaici'!M4,'Moduli Fotovoltaici'!M5,'Moduli Fotovoltaici'!M6,'Moduli Fotovoltaici'!M7,'Moduli Fotovoltaici'!M8,'Moduli Fotovoltaici'!M9,'Moduli Fotovoltaici'!M10,'Moduli Fotovoltaici'!M11,'Moduli Fotovoltaici'!M12,'Moduli Fotovoltaici'!M13,'Moduli Fotovoltaici'!M14,'Moduli Fotovoltaici'!M15,'Moduli Fotovoltaici'!M16,'Moduli Fotovoltaici'!M17,'Moduli Fotovoltaici'!M18,'Moduli Fotovoltaici'!M19,'Moduli Fotovoltaici'!M20)</f>
        <v>MC4</v>
      </c>
    </row>
    <row r="43" spans="2:53" ht="11.25" customHeight="1" x14ac:dyDescent="0.25">
      <c r="B43" s="118" t="str">
        <f>IF(O42&lt;R20,'Pagina di calcolo'!C12,"")</f>
        <v/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W43" s="119" t="str">
        <f>IF(AJ42&lt;R20,'Pagina di calcolo'!C12,"")</f>
        <v/>
      </c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W43" s="39">
        <f>CHOOSE($AW10,Inverter!S4,Inverter!S5,Inverter!S6,Inverter!S7,Inverter!S8,Inverter!S9,Inverter!S10,Inverter!S11,Inverter!S12,Inverter!S13,Inverter!S14,Inverter!S15,Inverter!S16,Inverter!S17)</f>
        <v>0.96</v>
      </c>
      <c r="AY43" s="39" t="str">
        <f>CHOOSE($AY13,'Moduli Fotovoltaici'!M4,'Moduli Fotovoltaici'!M5,'Moduli Fotovoltaici'!M6,'Moduli Fotovoltaici'!M7,'Moduli Fotovoltaici'!M8,'Moduli Fotovoltaici'!M9,'Moduli Fotovoltaici'!M10,'Moduli Fotovoltaici'!M11,'Moduli Fotovoltaici'!M12,'Moduli Fotovoltaici'!M13,'Moduli Fotovoltaici'!M14,'Moduli Fotovoltaici'!M15,'Moduli Fotovoltaici'!M16,'Moduli Fotovoltaici'!M17,'Moduli Fotovoltaici'!M18,'Moduli Fotovoltaici'!M19,'Moduli Fotovoltaici'!M20)</f>
        <v>MC4</v>
      </c>
      <c r="AZ43">
        <f>IF(((N35&gt;AW37)),1,0)</f>
        <v>1</v>
      </c>
      <c r="BA43">
        <f>IF(((AW48=0)*(AZ44=1)),1,0)</f>
        <v>0</v>
      </c>
    </row>
    <row r="44" spans="2:53" ht="11.25" customHeight="1" x14ac:dyDescent="0.25">
      <c r="B44" s="93" t="s">
        <v>63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111">
        <f>(B32*AY21)+((B32*AY21)*(AW74/100))</f>
        <v>455.31486000000001</v>
      </c>
      <c r="P44" s="111"/>
      <c r="Q44" s="111"/>
      <c r="R44" s="111"/>
      <c r="S44" s="30" t="str">
        <f>IF(O44&gt;AC18,"","OK")</f>
        <v>OK</v>
      </c>
      <c r="W44" s="93" t="s">
        <v>63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111">
        <f>(W32*AY22)+((W32*AY22)*(AW74/100))</f>
        <v>420.29064</v>
      </c>
      <c r="AK44" s="111"/>
      <c r="AL44" s="111"/>
      <c r="AM44" s="30" t="str">
        <f>IF(AJ44&gt;AC18,"","OK")</f>
        <v>OK</v>
      </c>
      <c r="AN44" s="14"/>
      <c r="AW44" t="s">
        <v>105</v>
      </c>
      <c r="AY44" s="38" t="s">
        <v>7</v>
      </c>
      <c r="AZ44">
        <f>IF(((AI35&gt;AW35)),1,0)</f>
        <v>1</v>
      </c>
      <c r="BA44">
        <f>IF(((AW49=0)*(AZ43=1)),1,0)</f>
        <v>0</v>
      </c>
    </row>
    <row r="45" spans="2:53" ht="11.25" customHeight="1" x14ac:dyDescent="0.25">
      <c r="B45" s="118" t="str">
        <f>IF(O44&gt;AC18,'Pagina di calcolo'!C13,"")</f>
        <v/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W45" s="119" t="str">
        <f>IF(AJ44&gt;AC18,'Pagina di calcolo'!C13,"")</f>
        <v/>
      </c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W45" s="47">
        <f>IF(N35&gt;(AW35),1,0)</f>
        <v>1</v>
      </c>
      <c r="AY45" s="39">
        <f>CHOOSE($AY10,'Moduli Fotovoltaici'!N4,'Moduli Fotovoltaici'!N5,'Moduli Fotovoltaici'!N6,'Moduli Fotovoltaici'!N7,'Moduli Fotovoltaici'!N8,'Moduli Fotovoltaici'!N9,'Moduli Fotovoltaici'!N10,'Moduli Fotovoltaici'!N11,'Moduli Fotovoltaici'!N12,'Moduli Fotovoltaici'!N13,'Moduli Fotovoltaici'!N14,'Moduli Fotovoltaici'!N15,'Moduli Fotovoltaici'!N16,'Moduli Fotovoltaici'!N17,'Moduli Fotovoltaici'!N18,'Moduli Fotovoltaici'!N19,'Moduli Fotovoltaici'!N20)</f>
        <v>1134</v>
      </c>
    </row>
    <row r="46" spans="2:53" ht="11.25" customHeight="1" x14ac:dyDescent="0.25">
      <c r="B46" s="93" t="s">
        <v>65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111">
        <f>B32*AY21</f>
        <v>422.37</v>
      </c>
      <c r="P46" s="111"/>
      <c r="Q46" s="111"/>
      <c r="R46" s="111"/>
      <c r="S46" s="30" t="str">
        <f>IF((O46&lt;G20)+(O46&gt;AC18),"","OK")</f>
        <v>OK</v>
      </c>
      <c r="W46" s="93" t="s">
        <v>65</v>
      </c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11">
        <f>W32*AY22</f>
        <v>389.88</v>
      </c>
      <c r="AK46" s="111"/>
      <c r="AL46" s="111"/>
      <c r="AM46" s="30" t="str">
        <f>IF((AJ46&lt;G20)+(AJ46&gt;AC18),"","OK")</f>
        <v>OK</v>
      </c>
      <c r="AW46" s="47">
        <f>IF(AI35&gt;(AW35),1,0)</f>
        <v>1</v>
      </c>
      <c r="AY46" s="39">
        <f>CHOOSE($AY13,'Moduli Fotovoltaici'!N4,'Moduli Fotovoltaici'!N5,'Moduli Fotovoltaici'!N6,'Moduli Fotovoltaici'!N7,'Moduli Fotovoltaici'!N8,'Moduli Fotovoltaici'!N9,'Moduli Fotovoltaici'!N10,'Moduli Fotovoltaici'!N11,'Moduli Fotovoltaici'!N12,'Moduli Fotovoltaici'!N13,'Moduli Fotovoltaici'!N14,'Moduli Fotovoltaici'!N15,'Moduli Fotovoltaici'!N16,'Moduli Fotovoltaici'!N17,'Moduli Fotovoltaici'!N18,'Moduli Fotovoltaici'!N19,'Moduli Fotovoltaici'!N20)</f>
        <v>1134</v>
      </c>
    </row>
    <row r="47" spans="2:53" ht="11.25" customHeight="1" x14ac:dyDescent="0.25">
      <c r="B47" s="118" t="str">
        <f>IF((O46&lt;G20)+(O46&gt;AC18),'Pagina di calcolo'!C13,"")</f>
        <v/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W47" s="119" t="str">
        <f>IF((AJ46&lt;G20)+(AJ46&gt;AC18),'Pagina di calcolo'!C12,"")</f>
        <v/>
      </c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W47" t="s">
        <v>113</v>
      </c>
      <c r="AY47" s="38" t="s">
        <v>8</v>
      </c>
    </row>
    <row r="48" spans="2:53" ht="11.25" customHeight="1" x14ac:dyDescent="0.25">
      <c r="B48" s="93" t="s">
        <v>64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111">
        <f>(B32*AY21)+((B32*AY21)*(AY72/100))</f>
        <v>372.95271000000002</v>
      </c>
      <c r="P48" s="111"/>
      <c r="Q48" s="111"/>
      <c r="R48" s="111"/>
      <c r="S48" s="30" t="str">
        <f>IF(O48&lt;G20,"","OK")</f>
        <v>OK</v>
      </c>
      <c r="W48" s="93" t="s">
        <v>64</v>
      </c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111">
        <f>(W32*AY22)+((W32*AY22)*(AY73/100))</f>
        <v>344.26404000000002</v>
      </c>
      <c r="AK48" s="111"/>
      <c r="AL48" s="111"/>
      <c r="AM48" s="30" t="str">
        <f>IF(AJ48&lt;G20,"","OK")</f>
        <v>OK</v>
      </c>
      <c r="AW48" s="47">
        <f>IF(N35&lt;AW37,0,1)</f>
        <v>1</v>
      </c>
      <c r="AY48" s="39">
        <f>CHOOSE($AY10,'Moduli Fotovoltaici'!O4,'Moduli Fotovoltaici'!O5,'Moduli Fotovoltaici'!O6,'Moduli Fotovoltaici'!O7,'Moduli Fotovoltaici'!O8,'Moduli Fotovoltaici'!O9,'Moduli Fotovoltaici'!O10,'Moduli Fotovoltaici'!O11,'Moduli Fotovoltaici'!O12,'Moduli Fotovoltaici'!O13,'Moduli Fotovoltaici'!O14,'Moduli Fotovoltaici'!O15,'Moduli Fotovoltaici'!O16,'Moduli Fotovoltaici'!O17,'Moduli Fotovoltaici'!O18,'Moduli Fotovoltaici'!O19,'Moduli Fotovoltaici'!O20)</f>
        <v>1722</v>
      </c>
    </row>
    <row r="49" spans="2:52" ht="11.25" customHeight="1" x14ac:dyDescent="0.25">
      <c r="B49" s="118" t="str">
        <f>IF(O48&lt;G20,'Pagina di calcolo'!C12,"")</f>
        <v/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W49" s="119" t="str">
        <f>IF(AJ48&lt;G20,'Pagina di calcolo'!C12,"")</f>
        <v/>
      </c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W49" s="47">
        <f>IF(AI35&lt;AW37,0,1)</f>
        <v>1</v>
      </c>
      <c r="AY49" s="39">
        <f>CHOOSE($AY13,'Moduli Fotovoltaici'!O4,'Moduli Fotovoltaici'!O5,'Moduli Fotovoltaici'!O6,'Moduli Fotovoltaici'!O7,'Moduli Fotovoltaici'!O8,'Moduli Fotovoltaici'!O9,'Moduli Fotovoltaici'!O10,'Moduli Fotovoltaici'!O11,'Moduli Fotovoltaici'!O12,'Moduli Fotovoltaici'!O13,'Moduli Fotovoltaici'!O14,'Moduli Fotovoltaici'!O15,'Moduli Fotovoltaici'!O16,'Moduli Fotovoltaici'!O17,'Moduli Fotovoltaici'!O18,'Moduli Fotovoltaici'!O19,'Moduli Fotovoltaici'!O20)</f>
        <v>1722</v>
      </c>
      <c r="AZ49">
        <f>AW64+AW52+AW48+AW45</f>
        <v>3</v>
      </c>
    </row>
    <row r="50" spans="2:52" ht="11.25" customHeight="1" x14ac:dyDescent="0.25">
      <c r="B50" s="93" t="s">
        <v>99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132" t="str">
        <f>IF(O40&lt;AY36,"Verificato"," Non verificato")</f>
        <v>Verificato</v>
      </c>
      <c r="P50" s="132"/>
      <c r="Q50" s="132"/>
      <c r="R50" s="132"/>
      <c r="S50" s="132"/>
      <c r="W50" s="93" t="s">
        <v>99</v>
      </c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132" t="str">
        <f>IF(AJ40&lt;AY37,"Verificato"," Non verificato")</f>
        <v>Verificato</v>
      </c>
      <c r="AK50" s="132"/>
      <c r="AL50" s="132"/>
      <c r="AM50" s="132"/>
      <c r="AY50" s="38" t="s">
        <v>14</v>
      </c>
      <c r="AZ50">
        <f>AW64+AW52+AW49+AW46</f>
        <v>3</v>
      </c>
    </row>
    <row r="51" spans="2:52" ht="11.25" customHeight="1" x14ac:dyDescent="0.25">
      <c r="B51" s="118" t="str">
        <f>IF((O40&gt;AY36),'Pagina di calcolo'!C13,"")</f>
        <v/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W51" t="s">
        <v>106</v>
      </c>
      <c r="AY51" s="39">
        <f>CHOOSE($AY10,'Moduli Fotovoltaici'!P4,'Moduli Fotovoltaici'!P5,'Moduli Fotovoltaici'!P6,'Moduli Fotovoltaici'!P7,'Moduli Fotovoltaici'!P8,'Moduli Fotovoltaici'!P9,'Moduli Fotovoltaici'!P10,'Moduli Fotovoltaici'!P11,'Moduli Fotovoltaici'!P12,'Moduli Fotovoltaici'!P13,'Moduli Fotovoltaici'!P14,'Moduli Fotovoltaici'!P15,'Moduli Fotovoltaici'!P16,'Moduli Fotovoltaici'!P17,'Moduli Fotovoltaici'!P18,'Moduli Fotovoltaici'!P19,'Moduli Fotovoltaici'!P20)</f>
        <v>30</v>
      </c>
    </row>
    <row r="52" spans="2:52" ht="11.25" customHeight="1" x14ac:dyDescent="0.25">
      <c r="B52" s="93" t="s">
        <v>66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6">
        <f>AY24+(AY24*(AY68/100))</f>
        <v>14.2898</v>
      </c>
      <c r="P52" s="96"/>
      <c r="Q52" s="96"/>
      <c r="R52" s="96"/>
      <c r="S52" s="30" t="s">
        <v>86</v>
      </c>
      <c r="W52" s="93" t="s">
        <v>66</v>
      </c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6">
        <f>AY25+(AY25*(AY69/100))</f>
        <v>14.2898</v>
      </c>
      <c r="AK52" s="96"/>
      <c r="AL52" s="96"/>
      <c r="AM52" s="30" t="s">
        <v>86</v>
      </c>
      <c r="AW52">
        <f>IF((N35+AI35)&lt;AC22,0,1)</f>
        <v>1</v>
      </c>
      <c r="AY52" s="39">
        <f>CHOOSE($AY13,'Moduli Fotovoltaici'!P4,'Moduli Fotovoltaici'!P5,'Moduli Fotovoltaici'!P6,'Moduli Fotovoltaici'!P7,'Moduli Fotovoltaici'!P8,'Moduli Fotovoltaici'!P9,'Moduli Fotovoltaici'!P10,'Moduli Fotovoltaici'!P11,'Moduli Fotovoltaici'!P12,'Moduli Fotovoltaici'!P13,'Moduli Fotovoltaici'!P14,'Moduli Fotovoltaici'!P15,'Moduli Fotovoltaici'!P16,'Moduli Fotovoltaici'!P17,'Moduli Fotovoltaici'!P18,'Moduli Fotovoltaici'!P19,'Moduli Fotovoltaici'!P20)</f>
        <v>30</v>
      </c>
    </row>
    <row r="53" spans="2:52" ht="11.25" customHeight="1" x14ac:dyDescent="0.25">
      <c r="AW53" t="s">
        <v>107</v>
      </c>
      <c r="AY53" s="38" t="s">
        <v>15</v>
      </c>
    </row>
    <row r="54" spans="2:52" ht="11.25" customHeight="1" x14ac:dyDescent="0.25">
      <c r="AY54" s="38"/>
    </row>
    <row r="55" spans="2:52" ht="11.25" customHeight="1" x14ac:dyDescent="0.25">
      <c r="B55" s="102" t="s">
        <v>172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W55" s="134" t="s">
        <v>320</v>
      </c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Y55" s="38"/>
    </row>
    <row r="56" spans="2:52" ht="11.25" customHeight="1" x14ac:dyDescent="0.25">
      <c r="AY56" s="38"/>
    </row>
    <row r="57" spans="2:52" ht="11.25" customHeight="1" x14ac:dyDescent="0.25">
      <c r="B57" s="102" t="s">
        <v>180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W57" s="135" t="s">
        <v>313</v>
      </c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Q57" s="124"/>
      <c r="AR57" s="124"/>
      <c r="AY57" s="38"/>
    </row>
    <row r="58" spans="2:52" ht="11.25" customHeight="1" x14ac:dyDescent="0.25">
      <c r="AY58" s="38"/>
    </row>
    <row r="59" spans="2:52" ht="11.25" customHeight="1" x14ac:dyDescent="0.25">
      <c r="B59" s="102" t="s">
        <v>181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W59" s="125" t="str">
        <f>CHOOSE(SdA!E4,SdA!J2,SdA!J3,SdA!J4,SdA!J5,SdA!J6,SdA!J7,SdA!J8,SdA!J9,SdA!J10,SdA!J11,SdA!J12,SdA!J13,SdA!J14,SdA!J15,SdA!J16,SdA!J20,SdA!J21,SdA!J22,SdA!J23,SdA!J24,SdA!J25,SdA!J26,SdA!J27,SdA!J28,SdA!J29,SdA!J30,SdA!J31,SdA!J43,SdA!J44,SdA!J45,SdA!J46,SdA!J47,SdA!J48,SdA!J49,SdA!J50,SdA!J51,SdA!J52,SdA!J53,SdA!J54,SdA!J55,SdA!J58,SdA!J59,SdA!J60,SdA!J61,SdA!J62,SdA!J73,SdA!J74,SdA!J75,SdA!J89,SdA!J90,SdA!J91,SdA!J92,SdA!J101,SdA!J102,SdA!J103,SdA!J104,SdA!J105)</f>
        <v>2 x iPack C6.5</v>
      </c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Y59" s="38"/>
    </row>
    <row r="60" spans="2:52" ht="11.25" customHeight="1" x14ac:dyDescent="0.25">
      <c r="AY60" s="38"/>
    </row>
    <row r="61" spans="2:52" ht="11.25" customHeight="1" x14ac:dyDescent="0.25">
      <c r="B61" s="102" t="s">
        <v>182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W61" s="125" t="str">
        <f>CHOOSE(SdA!E4,SdA!M2,SdA!M3,SdA!M4,SdA!M5,SdA!M6,SdA!M7,SdA!M8,SdA!M9,SdA!M10,SdA!M11,SdA!M12,SdA!M13,SdA!M14,SdA!M15,SdA!M16,SdA!K20,SdA!K21,SdA!K22,SdA!K23,SdA!K24,SdA!K25,SdA!K26,SdA!K27,SdA!K28,SdA!K29,SdA!K30,SdA!K31,SdA!K43,SdA!K44,SdA!K45,SdA!K46,SdA!K47,SdA!K48,SdA!K49,SdA!K50,SdA!K51,SdA!K52,SdA!K53,SdA!K54,SdA!K55,SdA!K58,SdA!K59,SdA!K60,SdA!K61,SdA!K62,SdA!K73,SdA!K74,SdA!K75,"","","","",SdA!K101,SdA!K102,SdA!K103,SdA!K104,SdA!K105)</f>
        <v>2 x Dowell Cable Kit + 1 x Connection Box</v>
      </c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Y61" s="38"/>
    </row>
    <row r="62" spans="2:52" ht="11.25" customHeight="1" x14ac:dyDescent="0.25">
      <c r="AY62" s="38"/>
    </row>
    <row r="63" spans="2:52" ht="11.25" customHeight="1" x14ac:dyDescent="0.25">
      <c r="AY63" s="38"/>
    </row>
    <row r="64" spans="2:52" ht="11.25" customHeight="1" x14ac:dyDescent="0.25">
      <c r="AW64">
        <f>IF(AW45+AW46=1,1,0)</f>
        <v>0</v>
      </c>
      <c r="AY64" s="39">
        <f>CHOOSE($AY10,'Moduli Fotovoltaici'!Q4,'Moduli Fotovoltaici'!Q5,'Moduli Fotovoltaici'!Q6,'Moduli Fotovoltaici'!Q7,'Moduli Fotovoltaici'!Q8)</f>
        <v>24.2</v>
      </c>
    </row>
    <row r="65" spans="1:51" ht="13.5" customHeight="1" x14ac:dyDescent="0.25">
      <c r="B65" s="104" t="s">
        <v>87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AY65" s="39">
        <f>CHOOSE($AY13,'Moduli Fotovoltaici'!Q4,'Moduli Fotovoltaici'!Q5,'Moduli Fotovoltaici'!Q6,'Moduli Fotovoltaici'!Q7,'Moduli Fotovoltaici'!Q8)</f>
        <v>24.2</v>
      </c>
    </row>
    <row r="66" spans="1:51" ht="3" customHeight="1" x14ac:dyDescent="0.25">
      <c r="AW66" t="s">
        <v>108</v>
      </c>
    </row>
    <row r="67" spans="1:51" ht="13.5" customHeight="1" x14ac:dyDescent="0.25">
      <c r="B67" s="31" t="s">
        <v>88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33">
        <f>N35+AI35</f>
        <v>10750</v>
      </c>
      <c r="O67" s="133"/>
      <c r="P67" s="133"/>
      <c r="Q67" s="133"/>
      <c r="R67" s="133"/>
      <c r="S67" s="133"/>
      <c r="W67" s="93" t="s">
        <v>92</v>
      </c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131">
        <f>IF(AW75&lt;AC16,AW75,AC16)</f>
        <v>6000</v>
      </c>
      <c r="AJ67" s="131"/>
      <c r="AK67" s="131"/>
      <c r="AL67" s="131"/>
      <c r="AW67" s="48">
        <f>N35/AC22</f>
        <v>0.69874999999999998</v>
      </c>
      <c r="AY67" s="39" t="s">
        <v>57</v>
      </c>
    </row>
    <row r="68" spans="1:51" ht="2.25" customHeight="1" x14ac:dyDescent="0.25">
      <c r="AW68" t="s">
        <v>109</v>
      </c>
      <c r="AY68" s="39">
        <f>(AY3-25)*AY33</f>
        <v>2.0699999999999998</v>
      </c>
    </row>
    <row r="69" spans="1:51" ht="11.25" customHeight="1" x14ac:dyDescent="0.25">
      <c r="B69" s="31" t="s">
        <v>90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111">
        <f>B32*K32</f>
        <v>13</v>
      </c>
      <c r="P69" s="111"/>
      <c r="Q69" s="111"/>
      <c r="R69" s="111"/>
      <c r="S69" s="111"/>
      <c r="W69" s="93" t="s">
        <v>93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103">
        <f>IF(AW76&lt;G18,AW76,G18)</f>
        <v>26.1</v>
      </c>
      <c r="AJ69" s="103"/>
      <c r="AK69" s="103"/>
      <c r="AL69" s="103"/>
      <c r="AM69" s="40"/>
      <c r="AW69" s="48">
        <f>AI35/AC22</f>
        <v>0.64500000000000002</v>
      </c>
      <c r="AY69" s="39">
        <f>(AY4-25)*AY34</f>
        <v>2.0699999999999998</v>
      </c>
    </row>
    <row r="70" spans="1:51" ht="2.25" customHeight="1" x14ac:dyDescent="0.25">
      <c r="B70" s="33"/>
      <c r="C70" s="35"/>
      <c r="D70" s="35"/>
      <c r="E70" s="36"/>
      <c r="F70" s="36"/>
      <c r="G70" s="36"/>
      <c r="H70" s="36"/>
      <c r="I70" s="36"/>
      <c r="J70" s="36"/>
      <c r="K70" s="34"/>
      <c r="L70" s="35"/>
      <c r="M70" s="35"/>
      <c r="N70" s="37"/>
      <c r="O70" s="37"/>
      <c r="P70" s="37"/>
      <c r="Q70" s="37"/>
      <c r="R70" s="37"/>
      <c r="S70" s="37"/>
      <c r="T70" s="32"/>
      <c r="AW70" s="42">
        <f>(1/(AW75/AI67))*1000</f>
        <v>581.39534883720933</v>
      </c>
      <c r="AY70" s="39"/>
    </row>
    <row r="71" spans="1:51" ht="11.25" customHeight="1" x14ac:dyDescent="0.25">
      <c r="B71" s="31" t="s">
        <v>91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111">
        <f>W32*AE32</f>
        <v>12</v>
      </c>
      <c r="P71" s="111"/>
      <c r="Q71" s="111"/>
      <c r="R71" s="111"/>
      <c r="S71" s="111"/>
      <c r="W71" s="123" t="str">
        <f>IF(AW75&gt;AC16,'Pagina di calcolo'!C18,"")</f>
        <v>Limitazione di potenza in uscita per irraggiamento superiore a</v>
      </c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W71" s="39" t="s">
        <v>56</v>
      </c>
      <c r="AY71" s="39" t="s">
        <v>61</v>
      </c>
    </row>
    <row r="72" spans="1:51" ht="2.25" customHeight="1" x14ac:dyDescent="0.25">
      <c r="W72" s="126">
        <f>IF(AW75&gt;AC16,AW70,"")</f>
        <v>581.39534883720933</v>
      </c>
      <c r="X72" s="126"/>
      <c r="Y72" s="126"/>
      <c r="Z72" s="126"/>
      <c r="AA72" s="126"/>
      <c r="AB72" s="44"/>
      <c r="AC72" s="44"/>
      <c r="AD72" s="44"/>
      <c r="AE72" s="44"/>
      <c r="AF72" s="44"/>
      <c r="AG72" s="44"/>
      <c r="AH72" s="44"/>
      <c r="AI72" s="44"/>
      <c r="AJ72" s="44"/>
      <c r="AW72" s="39">
        <f>(P12-25)*AY33</f>
        <v>-1.38</v>
      </c>
      <c r="AX72" s="39"/>
      <c r="AY72" s="39">
        <f>(AY3-25)*AY30</f>
        <v>-11.700000000000001</v>
      </c>
    </row>
    <row r="73" spans="1:51" ht="11.25" customHeight="1" x14ac:dyDescent="0.25">
      <c r="B73" s="31" t="s">
        <v>89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92">
        <f>(B32*K32)+(W32*AE32)</f>
        <v>25</v>
      </c>
      <c r="P73" s="92"/>
      <c r="Q73" s="92"/>
      <c r="R73" s="92"/>
      <c r="S73" s="92"/>
      <c r="W73" s="126"/>
      <c r="X73" s="126"/>
      <c r="Y73" s="126"/>
      <c r="Z73" s="126"/>
      <c r="AA73" s="126"/>
      <c r="AW73" s="39" t="s">
        <v>60</v>
      </c>
      <c r="AX73" s="39"/>
      <c r="AY73" s="39">
        <f>(AY4-25)*AY31</f>
        <v>-11.700000000000001</v>
      </c>
    </row>
    <row r="74" spans="1:51" ht="11.25" customHeight="1" x14ac:dyDescent="0.25">
      <c r="AV74" s="40"/>
      <c r="AW74" s="39">
        <f>(P12-25)*AY30</f>
        <v>7.8000000000000007</v>
      </c>
      <c r="AX74" s="40"/>
    </row>
    <row r="75" spans="1:51" ht="15.75" customHeight="1" x14ac:dyDescent="0.25">
      <c r="A75" s="109" t="s">
        <v>118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W75" s="41">
        <f>N67*AL20</f>
        <v>10320</v>
      </c>
    </row>
    <row r="76" spans="1:51" ht="15.75" customHeight="1" x14ac:dyDescent="0.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W76" s="40">
        <f>AW75/IF(AH16="Trifase",(400*1.73),230)</f>
        <v>44.869565217391305</v>
      </c>
    </row>
    <row r="77" spans="1:51" ht="4.5" customHeight="1" x14ac:dyDescent="0.25"/>
    <row r="78" spans="1:51" ht="15.75" customHeight="1" x14ac:dyDescent="0.25">
      <c r="A78" s="120" t="s">
        <v>121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</row>
    <row r="79" spans="1:51" ht="11.25" customHeight="1" x14ac:dyDescent="0.25">
      <c r="AM79" s="43"/>
    </row>
  </sheetData>
  <sheetProtection algorithmName="SHA-512" hashValue="DUzlUXlxBkDOybcmfgJKu1nNWmd2qcbnaYkC6qrr4KpogfIV0+qv9KK8a8J0tkedv+5DTemhHh/Dkl6J3On0Eg==" saltValue="IJ8gJfTc2rX0KAi9eTIsFw==" spinCount="100000" sheet="1" objects="1" scenarios="1"/>
  <mergeCells count="135">
    <mergeCell ref="AQ57:AR57"/>
    <mergeCell ref="W59:AM59"/>
    <mergeCell ref="W72:AA73"/>
    <mergeCell ref="L18:Q18"/>
    <mergeCell ref="R18:U18"/>
    <mergeCell ref="W18:AB18"/>
    <mergeCell ref="B55:S55"/>
    <mergeCell ref="M4:AF4"/>
    <mergeCell ref="AK2:AM2"/>
    <mergeCell ref="H6:AJ7"/>
    <mergeCell ref="AI67:AL67"/>
    <mergeCell ref="B65:N65"/>
    <mergeCell ref="O50:S50"/>
    <mergeCell ref="AJ50:AM50"/>
    <mergeCell ref="N67:S67"/>
    <mergeCell ref="W55:AM55"/>
    <mergeCell ref="B57:S57"/>
    <mergeCell ref="W57:AM57"/>
    <mergeCell ref="B59:S59"/>
    <mergeCell ref="B61:S61"/>
    <mergeCell ref="W61:AM61"/>
    <mergeCell ref="B40:N40"/>
    <mergeCell ref="W40:AI40"/>
    <mergeCell ref="B42:N42"/>
    <mergeCell ref="A78:AN78"/>
    <mergeCell ref="M2:AF3"/>
    <mergeCell ref="D6:G7"/>
    <mergeCell ref="B10:R10"/>
    <mergeCell ref="W71:AM71"/>
    <mergeCell ref="O71:S71"/>
    <mergeCell ref="W43:AM43"/>
    <mergeCell ref="W45:AM45"/>
    <mergeCell ref="W47:AM47"/>
    <mergeCell ref="W49:AM49"/>
    <mergeCell ref="B43:S43"/>
    <mergeCell ref="B45:S45"/>
    <mergeCell ref="B47:S47"/>
    <mergeCell ref="B52:N52"/>
    <mergeCell ref="W52:AI52"/>
    <mergeCell ref="O52:R52"/>
    <mergeCell ref="B49:S49"/>
    <mergeCell ref="AJ52:AL52"/>
    <mergeCell ref="B50:N50"/>
    <mergeCell ref="W50:AI50"/>
    <mergeCell ref="B51:S51"/>
    <mergeCell ref="W51:AM51"/>
    <mergeCell ref="O69:S69"/>
    <mergeCell ref="W67:AH67"/>
    <mergeCell ref="B32:I32"/>
    <mergeCell ref="AI35:AL35"/>
    <mergeCell ref="AJ38:AL38"/>
    <mergeCell ref="W35:AA35"/>
    <mergeCell ref="B36:S37"/>
    <mergeCell ref="W36:AM37"/>
    <mergeCell ref="W42:AI42"/>
    <mergeCell ref="O40:R40"/>
    <mergeCell ref="O42:R42"/>
    <mergeCell ref="B41:S41"/>
    <mergeCell ref="AJ40:AL40"/>
    <mergeCell ref="AJ42:AL42"/>
    <mergeCell ref="W41:AM41"/>
    <mergeCell ref="B38:N38"/>
    <mergeCell ref="W38:AI38"/>
    <mergeCell ref="B18:F18"/>
    <mergeCell ref="G18:J18"/>
    <mergeCell ref="AA25:AM25"/>
    <mergeCell ref="AC20:AF20"/>
    <mergeCell ref="K32:S32"/>
    <mergeCell ref="I29:S29"/>
    <mergeCell ref="B29:H29"/>
    <mergeCell ref="W29:AC29"/>
    <mergeCell ref="AD29:AM29"/>
    <mergeCell ref="A25:E26"/>
    <mergeCell ref="F26:S26"/>
    <mergeCell ref="G20:J20"/>
    <mergeCell ref="L20:Q20"/>
    <mergeCell ref="R20:U20"/>
    <mergeCell ref="W20:AB20"/>
    <mergeCell ref="AA26:AM26"/>
    <mergeCell ref="AC22:AF22"/>
    <mergeCell ref="B22:F22"/>
    <mergeCell ref="G22:J22"/>
    <mergeCell ref="AE31:AM31"/>
    <mergeCell ref="AE32:AM32"/>
    <mergeCell ref="W32:AC32"/>
    <mergeCell ref="B31:I31"/>
    <mergeCell ref="K31:S31"/>
    <mergeCell ref="B16:F16"/>
    <mergeCell ref="G16:J16"/>
    <mergeCell ref="R16:U16"/>
    <mergeCell ref="L16:Q16"/>
    <mergeCell ref="W16:AB16"/>
    <mergeCell ref="W14:AM14"/>
    <mergeCell ref="AC16:AF16"/>
    <mergeCell ref="AH16:AM16"/>
    <mergeCell ref="A75:AN76"/>
    <mergeCell ref="B48:N48"/>
    <mergeCell ref="W48:AI48"/>
    <mergeCell ref="B44:N44"/>
    <mergeCell ref="W44:AI44"/>
    <mergeCell ref="O44:R44"/>
    <mergeCell ref="O46:R46"/>
    <mergeCell ref="O48:R48"/>
    <mergeCell ref="AJ44:AL44"/>
    <mergeCell ref="AJ46:AL46"/>
    <mergeCell ref="AJ48:AL48"/>
    <mergeCell ref="B46:N46"/>
    <mergeCell ref="W46:AI46"/>
    <mergeCell ref="U25:Z26"/>
    <mergeCell ref="AC18:AF18"/>
    <mergeCell ref="B20:F20"/>
    <mergeCell ref="R22:U22"/>
    <mergeCell ref="U12:AI12"/>
    <mergeCell ref="AJ12:AM12"/>
    <mergeCell ref="B12:O12"/>
    <mergeCell ref="P12:S12"/>
    <mergeCell ref="L14:V14"/>
    <mergeCell ref="O73:S73"/>
    <mergeCell ref="W69:AH69"/>
    <mergeCell ref="B39:S39"/>
    <mergeCell ref="W39:AM39"/>
    <mergeCell ref="N35:R35"/>
    <mergeCell ref="O38:R38"/>
    <mergeCell ref="W22:AB22"/>
    <mergeCell ref="AH18:AK18"/>
    <mergeCell ref="AL18:AM18"/>
    <mergeCell ref="AH20:AK20"/>
    <mergeCell ref="AL20:AM20"/>
    <mergeCell ref="L22:Q22"/>
    <mergeCell ref="G35:M35"/>
    <mergeCell ref="B35:F35"/>
    <mergeCell ref="AB35:AH35"/>
    <mergeCell ref="AI69:AL69"/>
    <mergeCell ref="B14:K14"/>
    <mergeCell ref="F25:S25"/>
  </mergeCells>
  <conditionalFormatting sqref="O50">
    <cfRule type="expression" dxfId="17" priority="10">
      <formula>$O$40&gt;$AY$36</formula>
    </cfRule>
  </conditionalFormatting>
  <conditionalFormatting sqref="O38:R38">
    <cfRule type="cellIs" dxfId="16" priority="25" operator="greaterThan">
      <formula>$AW$33</formula>
    </cfRule>
  </conditionalFormatting>
  <conditionalFormatting sqref="O40:R40 AJ40:AL40">
    <cfRule type="cellIs" dxfId="15" priority="26" operator="greaterThan">
      <formula>$R$18</formula>
    </cfRule>
  </conditionalFormatting>
  <conditionalFormatting sqref="O42:R42">
    <cfRule type="cellIs" dxfId="14" priority="21" operator="lessThan">
      <formula>$R$20</formula>
    </cfRule>
  </conditionalFormatting>
  <conditionalFormatting sqref="O44:R44">
    <cfRule type="cellIs" dxfId="13" priority="20" operator="greaterThan">
      <formula>$AC$18</formula>
    </cfRule>
  </conditionalFormatting>
  <conditionalFormatting sqref="O46:R46 AJ46:AL46">
    <cfRule type="cellIs" dxfId="12" priority="19" operator="notBetween">
      <formula>$G$20</formula>
      <formula>$AC$18</formula>
    </cfRule>
  </conditionalFormatting>
  <conditionalFormatting sqref="O48:R48">
    <cfRule type="cellIs" dxfId="11" priority="18" operator="lessThan">
      <formula>$G$20</formula>
    </cfRule>
  </conditionalFormatting>
  <conditionalFormatting sqref="AJ50">
    <cfRule type="expression" dxfId="10" priority="8">
      <formula>$AJ$40&gt;$AY$37</formula>
    </cfRule>
  </conditionalFormatting>
  <conditionalFormatting sqref="AJ38:AL38">
    <cfRule type="cellIs" dxfId="9" priority="16" operator="greaterThan">
      <formula>$AW$33</formula>
    </cfRule>
  </conditionalFormatting>
  <conditionalFormatting sqref="AJ42:AL42">
    <cfRule type="cellIs" dxfId="8" priority="14" operator="lessThan">
      <formula>$R$20</formula>
    </cfRule>
  </conditionalFormatting>
  <conditionalFormatting sqref="AJ44:AL44">
    <cfRule type="cellIs" dxfId="7" priority="13" operator="greaterThan">
      <formula>$AC$18</formula>
    </cfRule>
  </conditionalFormatting>
  <conditionalFormatting sqref="AJ48:AL48">
    <cfRule type="cellIs" dxfId="6" priority="11" operator="lessThan">
      <formula>$G$20</formula>
    </cfRule>
  </conditionalFormatting>
  <hyperlinks>
    <hyperlink ref="AH4" r:id="rId1"/>
  </hyperlinks>
  <printOptions horizontalCentered="1" verticalCentered="1"/>
  <pageMargins left="0.70866141732283472" right="0.51181102362204722" top="0" bottom="0.19685039370078741" header="0.31496062992125984" footer="0.31496062992125984"/>
  <pageSetup paperSize="9" orientation="portrait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519B7C1-79C7-4748-9737-5D5092E7A86D}">
            <xm:f>SdA!$E$2=1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B57:S57</xm:sqref>
        </x14:conditionalFormatting>
        <x14:conditionalFormatting xmlns:xm="http://schemas.microsoft.com/office/excel/2006/main">
          <x14:cfRule type="expression" priority="5" id="{1C9FC3C8-2526-4689-BB09-5D46EA2C2395}">
            <xm:f>SdA!$E$2=1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B59:S59</xm:sqref>
        </x14:conditionalFormatting>
        <x14:conditionalFormatting xmlns:xm="http://schemas.microsoft.com/office/excel/2006/main">
          <x14:cfRule type="expression" priority="4" id="{570824BC-422F-45D2-AB59-E2EBB7DBCA4C}">
            <xm:f>SdA!$E$2=1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B61:S61</xm:sqref>
        </x14:conditionalFormatting>
        <x14:conditionalFormatting xmlns:xm="http://schemas.microsoft.com/office/excel/2006/main">
          <x14:cfRule type="expression" priority="3" id="{52033599-61B9-46BC-8940-C5F0EDCFB82E}">
            <xm:f>SdA!$E$2=1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W57:AM57</xm:sqref>
        </x14:conditionalFormatting>
        <x14:conditionalFormatting xmlns:xm="http://schemas.microsoft.com/office/excel/2006/main">
          <x14:cfRule type="expression" priority="2" id="{8984509E-AA83-4042-9231-99820C05771E}">
            <xm:f>SdA!$E$2=1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W59:AM59</xm:sqref>
        </x14:conditionalFormatting>
        <x14:conditionalFormatting xmlns:xm="http://schemas.microsoft.com/office/excel/2006/main">
          <x14:cfRule type="expression" priority="1" id="{44B2956A-AABE-4A6D-AF4E-E17F7A8C7A75}">
            <xm:f>SdA!$E$2=1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W61:AM61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'Pagina di calcolo'!$C$4:$C$7</xm:f>
          </x14:formula1>
          <xm:sqref>F26 AA26</xm:sqref>
        </x14:dataValidation>
        <x14:dataValidation type="list" allowBlank="1" showInputMessage="1" showErrorMessage="1">
          <x14:formula1>
            <xm:f>'Pagina di calcolo'!$E$4:$E$33</xm:f>
          </x14:formula1>
          <xm:sqref>B32:I32 W32</xm:sqref>
        </x14:dataValidation>
        <x14:dataValidation type="list" allowBlank="1" showInputMessage="1" showErrorMessage="1">
          <x14:formula1>
            <xm:f>'Pagina di calcolo'!$F$4:$F$5</xm:f>
          </x14:formula1>
          <xm:sqref>K32:S32 AE32:AM32</xm:sqref>
        </x14:dataValidation>
        <x14:dataValidation type="list" allowBlank="1" showInputMessage="1" showErrorMessage="1">
          <x14:formula1>
            <xm:f>'Pagina di calcolo'!$A$4:$A$69</xm:f>
          </x14:formula1>
          <xm:sqref>P11:S12</xm:sqref>
        </x14:dataValidation>
        <x14:dataValidation type="list" allowBlank="1" showInputMessage="1" showErrorMessage="1">
          <x14:formula1>
            <xm:f>'Pagina di calcolo'!$B$4:$B$58</xm:f>
          </x14:formula1>
          <xm:sqref>AJ11:AM12</xm:sqref>
        </x14:dataValidation>
        <x14:dataValidation type="list" allowBlank="1" showInputMessage="1" showErrorMessage="1">
          <x14:formula1>
            <xm:f>SdA!$F$2:$F$16</xm:f>
          </x14:formula1>
          <xm:sqref>W57:AM57</xm:sqref>
        </x14:dataValidation>
        <x14:dataValidation type="list" allowBlank="1" showInputMessage="1" showErrorMessage="1">
          <x14:formula1>
            <xm:f>SdA!$B$57:$B$60</xm:f>
          </x14:formula1>
          <xm:sqref>W55:AM55</xm:sqref>
        </x14:dataValidation>
        <x14:dataValidation type="list" allowBlank="1" showInputMessage="1" showErrorMessage="1">
          <x14:formula1>
            <xm:f>Inverter!$C$4:$C$12</xm:f>
          </x14:formula1>
          <xm:sqref>W17 W15 V15:V17</xm:sqref>
        </x14:dataValidation>
        <x14:dataValidation type="list" allowBlank="1" showInputMessage="1" showErrorMessage="1">
          <x14:formula1>
            <xm:f>Inverter!$C$4:$C$14</xm:f>
          </x14:formula1>
          <xm:sqref>W14</xm:sqref>
        </x14:dataValidation>
        <x14:dataValidation type="list" allowBlank="1" showInputMessage="1" showErrorMessage="1">
          <x14:formula1>
            <xm:f>'Moduli Fotovoltaici'!$C$4:$C$23</xm:f>
          </x14:formula1>
          <xm:sqref>I29:S29 AD29:AM29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2:I69"/>
  <sheetViews>
    <sheetView topLeftCell="A22" workbookViewId="0">
      <selection activeCell="C30" sqref="C30"/>
    </sheetView>
  </sheetViews>
  <sheetFormatPr defaultRowHeight="15" x14ac:dyDescent="0.25"/>
  <cols>
    <col min="1" max="2" width="26.85546875" style="1" bestFit="1" customWidth="1"/>
    <col min="3" max="3" width="36.28515625" style="1" bestFit="1" customWidth="1"/>
    <col min="4" max="4" width="13.42578125" style="1" bestFit="1" customWidth="1"/>
    <col min="5" max="5" width="16.7109375" bestFit="1" customWidth="1"/>
    <col min="6" max="6" width="21.42578125" bestFit="1" customWidth="1"/>
    <col min="8" max="9" width="16.140625" bestFit="1" customWidth="1"/>
  </cols>
  <sheetData>
    <row r="2" spans="1:9" x14ac:dyDescent="0.25">
      <c r="A2" s="1" t="s">
        <v>36</v>
      </c>
      <c r="B2" s="1" t="s">
        <v>37</v>
      </c>
      <c r="C2" s="1" t="s">
        <v>38</v>
      </c>
      <c r="D2" s="1" t="s">
        <v>43</v>
      </c>
      <c r="E2" s="1" t="s">
        <v>44</v>
      </c>
      <c r="F2" s="1" t="s">
        <v>45</v>
      </c>
      <c r="H2" s="1"/>
      <c r="I2" s="1"/>
    </row>
    <row r="4" spans="1:9" x14ac:dyDescent="0.25">
      <c r="A4" s="1">
        <v>-45</v>
      </c>
      <c r="B4" s="1">
        <v>1</v>
      </c>
      <c r="C4" s="1" t="s">
        <v>39</v>
      </c>
      <c r="D4" s="1">
        <v>35</v>
      </c>
      <c r="E4" s="1">
        <v>1</v>
      </c>
      <c r="F4" s="1">
        <v>1</v>
      </c>
    </row>
    <row r="5" spans="1:9" x14ac:dyDescent="0.25">
      <c r="A5" s="1">
        <v>-44</v>
      </c>
      <c r="B5" s="1">
        <v>2</v>
      </c>
      <c r="C5" s="1" t="s">
        <v>41</v>
      </c>
      <c r="D5" s="1">
        <v>45</v>
      </c>
      <c r="E5" s="1">
        <v>2</v>
      </c>
      <c r="F5" s="1">
        <v>2</v>
      </c>
    </row>
    <row r="6" spans="1:9" x14ac:dyDescent="0.25">
      <c r="A6" s="1">
        <v>-43</v>
      </c>
      <c r="B6" s="1">
        <v>3</v>
      </c>
      <c r="C6" s="1" t="s">
        <v>40</v>
      </c>
      <c r="D6" s="1">
        <v>30</v>
      </c>
      <c r="E6" s="1">
        <v>3</v>
      </c>
    </row>
    <row r="7" spans="1:9" x14ac:dyDescent="0.25">
      <c r="A7" s="1">
        <v>-42</v>
      </c>
      <c r="B7" s="1">
        <v>4</v>
      </c>
      <c r="C7" s="1" t="s">
        <v>42</v>
      </c>
      <c r="D7" s="1">
        <v>25</v>
      </c>
      <c r="E7" s="1">
        <v>4</v>
      </c>
    </row>
    <row r="8" spans="1:9" x14ac:dyDescent="0.25">
      <c r="A8" s="1">
        <v>-41</v>
      </c>
      <c r="B8" s="1">
        <v>5</v>
      </c>
      <c r="E8" s="1">
        <v>5</v>
      </c>
    </row>
    <row r="9" spans="1:9" x14ac:dyDescent="0.25">
      <c r="A9" s="1">
        <v>-40</v>
      </c>
      <c r="B9" s="1">
        <v>6</v>
      </c>
      <c r="E9" s="1">
        <v>6</v>
      </c>
    </row>
    <row r="10" spans="1:9" x14ac:dyDescent="0.25">
      <c r="A10" s="1">
        <v>-39</v>
      </c>
      <c r="B10" s="1">
        <v>7</v>
      </c>
      <c r="C10" s="1" t="s">
        <v>53</v>
      </c>
      <c r="E10" s="1">
        <v>7</v>
      </c>
    </row>
    <row r="11" spans="1:9" x14ac:dyDescent="0.25">
      <c r="A11" s="1">
        <v>-38</v>
      </c>
      <c r="B11" s="1">
        <v>8</v>
      </c>
      <c r="E11" s="1">
        <v>8</v>
      </c>
    </row>
    <row r="12" spans="1:9" x14ac:dyDescent="0.25">
      <c r="A12" s="1">
        <v>-37</v>
      </c>
      <c r="B12" s="1">
        <v>9</v>
      </c>
      <c r="C12" s="1" t="s">
        <v>84</v>
      </c>
      <c r="E12" s="1">
        <v>9</v>
      </c>
    </row>
    <row r="13" spans="1:9" x14ac:dyDescent="0.25">
      <c r="A13" s="1">
        <v>-36</v>
      </c>
      <c r="B13" s="1">
        <v>10</v>
      </c>
      <c r="C13" s="1" t="s">
        <v>85</v>
      </c>
      <c r="E13" s="1">
        <v>10</v>
      </c>
    </row>
    <row r="14" spans="1:9" x14ac:dyDescent="0.25">
      <c r="A14" s="1">
        <v>-35</v>
      </c>
      <c r="B14" s="1">
        <v>11</v>
      </c>
      <c r="C14" s="1" t="s">
        <v>54</v>
      </c>
      <c r="E14" s="1">
        <v>11</v>
      </c>
    </row>
    <row r="15" spans="1:9" x14ac:dyDescent="0.25">
      <c r="A15" s="1">
        <v>-34</v>
      </c>
      <c r="B15" s="1">
        <v>12</v>
      </c>
      <c r="E15" s="1">
        <v>12</v>
      </c>
    </row>
    <row r="16" spans="1:9" ht="90" x14ac:dyDescent="0.25">
      <c r="A16" s="1">
        <v>-33</v>
      </c>
      <c r="B16" s="1">
        <v>13</v>
      </c>
      <c r="C16" s="3" t="s">
        <v>112</v>
      </c>
      <c r="E16" s="1">
        <v>13</v>
      </c>
    </row>
    <row r="17" spans="1:5" ht="45" x14ac:dyDescent="0.25">
      <c r="A17" s="1">
        <v>-32</v>
      </c>
      <c r="B17" s="1">
        <v>14</v>
      </c>
      <c r="C17" s="3" t="s">
        <v>83</v>
      </c>
      <c r="E17" s="1">
        <v>14</v>
      </c>
    </row>
    <row r="18" spans="1:5" ht="30" x14ac:dyDescent="0.25">
      <c r="A18" s="1">
        <v>-31</v>
      </c>
      <c r="B18" s="1">
        <v>15</v>
      </c>
      <c r="C18" s="3" t="s">
        <v>104</v>
      </c>
      <c r="E18" s="1">
        <v>15</v>
      </c>
    </row>
    <row r="19" spans="1:5" x14ac:dyDescent="0.25">
      <c r="A19" s="1">
        <v>-30</v>
      </c>
      <c r="B19" s="1">
        <v>16</v>
      </c>
      <c r="E19" s="1">
        <v>16</v>
      </c>
    </row>
    <row r="20" spans="1:5" x14ac:dyDescent="0.25">
      <c r="A20" s="1">
        <v>-29</v>
      </c>
      <c r="B20" s="1">
        <v>17</v>
      </c>
      <c r="E20" s="1">
        <v>17</v>
      </c>
    </row>
    <row r="21" spans="1:5" x14ac:dyDescent="0.25">
      <c r="A21" s="1">
        <v>-28</v>
      </c>
      <c r="B21" s="1">
        <v>18</v>
      </c>
      <c r="E21" s="1">
        <v>18</v>
      </c>
    </row>
    <row r="22" spans="1:5" x14ac:dyDescent="0.25">
      <c r="A22" s="1">
        <v>-27</v>
      </c>
      <c r="B22" s="1">
        <v>19</v>
      </c>
      <c r="E22" s="1">
        <v>19</v>
      </c>
    </row>
    <row r="23" spans="1:5" x14ac:dyDescent="0.25">
      <c r="A23" s="1">
        <v>-26</v>
      </c>
      <c r="B23" s="1">
        <v>20</v>
      </c>
      <c r="E23" s="1">
        <v>20</v>
      </c>
    </row>
    <row r="24" spans="1:5" x14ac:dyDescent="0.25">
      <c r="A24" s="1">
        <v>-25</v>
      </c>
      <c r="B24" s="1">
        <v>21</v>
      </c>
      <c r="E24" s="1">
        <v>21</v>
      </c>
    </row>
    <row r="25" spans="1:5" x14ac:dyDescent="0.25">
      <c r="A25" s="1">
        <v>-24</v>
      </c>
      <c r="B25" s="1">
        <v>22</v>
      </c>
      <c r="E25" s="1">
        <v>22</v>
      </c>
    </row>
    <row r="26" spans="1:5" x14ac:dyDescent="0.25">
      <c r="A26" s="1">
        <v>-23</v>
      </c>
      <c r="B26" s="1">
        <v>23</v>
      </c>
      <c r="E26" s="1">
        <v>23</v>
      </c>
    </row>
    <row r="27" spans="1:5" x14ac:dyDescent="0.25">
      <c r="A27" s="1">
        <v>-22</v>
      </c>
      <c r="B27" s="1">
        <v>24</v>
      </c>
      <c r="E27" s="1">
        <v>24</v>
      </c>
    </row>
    <row r="28" spans="1:5" x14ac:dyDescent="0.25">
      <c r="A28" s="1">
        <v>-21</v>
      </c>
      <c r="B28" s="1">
        <v>25</v>
      </c>
      <c r="E28" s="1">
        <v>25</v>
      </c>
    </row>
    <row r="29" spans="1:5" x14ac:dyDescent="0.25">
      <c r="A29" s="1">
        <v>-20</v>
      </c>
      <c r="B29" s="1">
        <v>26</v>
      </c>
      <c r="E29" s="1">
        <v>26</v>
      </c>
    </row>
    <row r="30" spans="1:5" x14ac:dyDescent="0.25">
      <c r="A30" s="1">
        <v>-19</v>
      </c>
      <c r="B30" s="1">
        <v>27</v>
      </c>
      <c r="E30" s="1">
        <v>27</v>
      </c>
    </row>
    <row r="31" spans="1:5" x14ac:dyDescent="0.25">
      <c r="A31" s="1">
        <v>-18</v>
      </c>
      <c r="B31" s="1">
        <v>28</v>
      </c>
      <c r="E31" s="1">
        <v>28</v>
      </c>
    </row>
    <row r="32" spans="1:5" x14ac:dyDescent="0.25">
      <c r="A32" s="1">
        <v>-17</v>
      </c>
      <c r="B32" s="1">
        <v>29</v>
      </c>
      <c r="E32" s="1">
        <v>29</v>
      </c>
    </row>
    <row r="33" spans="1:5" x14ac:dyDescent="0.25">
      <c r="A33" s="1">
        <v>-16</v>
      </c>
      <c r="B33" s="1">
        <v>30</v>
      </c>
      <c r="E33" s="1">
        <v>30</v>
      </c>
    </row>
    <row r="34" spans="1:5" x14ac:dyDescent="0.25">
      <c r="A34" s="1">
        <v>-15</v>
      </c>
      <c r="B34" s="1">
        <v>31</v>
      </c>
    </row>
    <row r="35" spans="1:5" x14ac:dyDescent="0.25">
      <c r="A35" s="1">
        <v>-14</v>
      </c>
      <c r="B35" s="1">
        <v>32</v>
      </c>
    </row>
    <row r="36" spans="1:5" x14ac:dyDescent="0.25">
      <c r="A36" s="1">
        <v>-13</v>
      </c>
      <c r="B36" s="1">
        <v>33</v>
      </c>
    </row>
    <row r="37" spans="1:5" x14ac:dyDescent="0.25">
      <c r="A37" s="1">
        <v>-12</v>
      </c>
      <c r="B37" s="1">
        <v>34</v>
      </c>
    </row>
    <row r="38" spans="1:5" x14ac:dyDescent="0.25">
      <c r="A38" s="1">
        <v>-11</v>
      </c>
      <c r="B38" s="1">
        <v>35</v>
      </c>
    </row>
    <row r="39" spans="1:5" x14ac:dyDescent="0.25">
      <c r="A39" s="1">
        <v>-10</v>
      </c>
      <c r="B39" s="1">
        <v>36</v>
      </c>
    </row>
    <row r="40" spans="1:5" x14ac:dyDescent="0.25">
      <c r="A40" s="1">
        <v>-9</v>
      </c>
      <c r="B40" s="1">
        <v>37</v>
      </c>
    </row>
    <row r="41" spans="1:5" x14ac:dyDescent="0.25">
      <c r="A41" s="1">
        <v>-8</v>
      </c>
      <c r="B41" s="1">
        <v>38</v>
      </c>
    </row>
    <row r="42" spans="1:5" x14ac:dyDescent="0.25">
      <c r="A42" s="1">
        <v>-7</v>
      </c>
      <c r="B42" s="1">
        <v>39</v>
      </c>
    </row>
    <row r="43" spans="1:5" x14ac:dyDescent="0.25">
      <c r="A43" s="1">
        <v>-6</v>
      </c>
      <c r="B43" s="1">
        <v>40</v>
      </c>
    </row>
    <row r="44" spans="1:5" x14ac:dyDescent="0.25">
      <c r="A44" s="1">
        <v>-5</v>
      </c>
      <c r="B44" s="1">
        <v>41</v>
      </c>
    </row>
    <row r="45" spans="1:5" x14ac:dyDescent="0.25">
      <c r="A45" s="1">
        <v>-4</v>
      </c>
      <c r="B45" s="1">
        <v>42</v>
      </c>
    </row>
    <row r="46" spans="1:5" x14ac:dyDescent="0.25">
      <c r="A46" s="1">
        <v>-3</v>
      </c>
      <c r="B46" s="1">
        <v>43</v>
      </c>
    </row>
    <row r="47" spans="1:5" x14ac:dyDescent="0.25">
      <c r="A47" s="1">
        <v>-2</v>
      </c>
      <c r="B47" s="1">
        <v>44</v>
      </c>
    </row>
    <row r="48" spans="1:5" x14ac:dyDescent="0.25">
      <c r="A48" s="1">
        <v>-1</v>
      </c>
      <c r="B48" s="1">
        <v>45</v>
      </c>
    </row>
    <row r="49" spans="1:2" x14ac:dyDescent="0.25">
      <c r="A49" s="1">
        <v>0</v>
      </c>
      <c r="B49" s="1">
        <v>46</v>
      </c>
    </row>
    <row r="50" spans="1:2" x14ac:dyDescent="0.25">
      <c r="A50" s="1">
        <v>1</v>
      </c>
      <c r="B50" s="1">
        <v>47</v>
      </c>
    </row>
    <row r="51" spans="1:2" x14ac:dyDescent="0.25">
      <c r="A51" s="1">
        <v>2</v>
      </c>
      <c r="B51" s="1">
        <v>48</v>
      </c>
    </row>
    <row r="52" spans="1:2" x14ac:dyDescent="0.25">
      <c r="A52" s="1">
        <v>3</v>
      </c>
      <c r="B52" s="1">
        <v>49</v>
      </c>
    </row>
    <row r="53" spans="1:2" x14ac:dyDescent="0.25">
      <c r="A53" s="1">
        <v>4</v>
      </c>
      <c r="B53" s="1">
        <v>50</v>
      </c>
    </row>
    <row r="54" spans="1:2" x14ac:dyDescent="0.25">
      <c r="A54" s="1">
        <v>5</v>
      </c>
      <c r="B54" s="1">
        <v>51</v>
      </c>
    </row>
    <row r="55" spans="1:2" x14ac:dyDescent="0.25">
      <c r="A55" s="1">
        <v>6</v>
      </c>
      <c r="B55" s="1">
        <v>52</v>
      </c>
    </row>
    <row r="56" spans="1:2" x14ac:dyDescent="0.25">
      <c r="A56" s="1">
        <v>7</v>
      </c>
      <c r="B56" s="1">
        <v>53</v>
      </c>
    </row>
    <row r="57" spans="1:2" x14ac:dyDescent="0.25">
      <c r="A57" s="1">
        <v>8</v>
      </c>
      <c r="B57" s="1">
        <v>54</v>
      </c>
    </row>
    <row r="58" spans="1:2" x14ac:dyDescent="0.25">
      <c r="A58" s="1">
        <v>9</v>
      </c>
      <c r="B58" s="1">
        <v>55</v>
      </c>
    </row>
    <row r="59" spans="1:2" x14ac:dyDescent="0.25">
      <c r="A59" s="1">
        <v>10</v>
      </c>
    </row>
    <row r="60" spans="1:2" x14ac:dyDescent="0.25">
      <c r="A60" s="1">
        <v>11</v>
      </c>
    </row>
    <row r="61" spans="1:2" x14ac:dyDescent="0.25">
      <c r="A61" s="1">
        <v>12</v>
      </c>
    </row>
    <row r="62" spans="1:2" x14ac:dyDescent="0.25">
      <c r="A62" s="1">
        <v>13</v>
      </c>
    </row>
    <row r="63" spans="1:2" x14ac:dyDescent="0.25">
      <c r="A63" s="1">
        <v>14</v>
      </c>
    </row>
    <row r="64" spans="1:2" x14ac:dyDescent="0.25">
      <c r="A64" s="1">
        <v>15</v>
      </c>
    </row>
    <row r="65" spans="1:1" x14ac:dyDescent="0.25">
      <c r="A65" s="1">
        <v>16</v>
      </c>
    </row>
    <row r="66" spans="1:1" x14ac:dyDescent="0.25">
      <c r="A66" s="1">
        <v>17</v>
      </c>
    </row>
    <row r="67" spans="1:1" x14ac:dyDescent="0.25">
      <c r="A67" s="1">
        <v>18</v>
      </c>
    </row>
    <row r="68" spans="1:1" x14ac:dyDescent="0.25">
      <c r="A68" s="1">
        <v>19</v>
      </c>
    </row>
    <row r="69" spans="1:1" x14ac:dyDescent="0.25">
      <c r="A69" s="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AI25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28515625" customWidth="1"/>
    <col min="2" max="2" width="9.85546875" style="1" bestFit="1" customWidth="1"/>
    <col min="3" max="3" width="22" style="1" customWidth="1"/>
    <col min="4" max="4" width="16.7109375" style="1" bestFit="1" customWidth="1"/>
    <col min="5" max="5" width="9.42578125" style="1" bestFit="1" customWidth="1"/>
    <col min="6" max="6" width="12.140625" style="1" bestFit="1" customWidth="1"/>
    <col min="7" max="7" width="9.7109375" style="1" customWidth="1"/>
    <col min="8" max="8" width="12.140625" style="1" customWidth="1"/>
    <col min="9" max="9" width="11.85546875" style="1" bestFit="1" customWidth="1"/>
    <col min="10" max="10" width="11.85546875" style="1" customWidth="1"/>
    <col min="11" max="11" width="22.7109375" style="1" bestFit="1" customWidth="1"/>
    <col min="12" max="12" width="23.5703125" style="1" bestFit="1" customWidth="1"/>
    <col min="13" max="13" width="10.5703125" style="1" bestFit="1" customWidth="1"/>
    <col min="14" max="14" width="15" style="1" bestFit="1" customWidth="1"/>
    <col min="15" max="15" width="12.7109375" style="1" bestFit="1" customWidth="1"/>
    <col min="16" max="16" width="14.42578125" style="1" bestFit="1" customWidth="1"/>
    <col min="17" max="17" width="9.140625" style="1"/>
  </cols>
  <sheetData>
    <row r="1" spans="1:35" x14ac:dyDescent="0.25">
      <c r="A1" s="4" t="s">
        <v>0</v>
      </c>
    </row>
    <row r="3" spans="1:35" ht="15.75" thickBot="1" x14ac:dyDescent="0.3">
      <c r="A3" s="2" t="s">
        <v>1</v>
      </c>
      <c r="B3" s="2" t="s">
        <v>3</v>
      </c>
      <c r="C3" s="2" t="s">
        <v>2</v>
      </c>
      <c r="D3" s="2" t="s">
        <v>4</v>
      </c>
      <c r="E3" s="2" t="s">
        <v>5</v>
      </c>
      <c r="F3" s="2" t="s">
        <v>6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9</v>
      </c>
      <c r="L3" s="2" t="s">
        <v>16</v>
      </c>
      <c r="M3" s="2" t="s">
        <v>17</v>
      </c>
      <c r="N3" s="2" t="s">
        <v>7</v>
      </c>
      <c r="O3" s="2" t="s">
        <v>8</v>
      </c>
      <c r="P3" s="2" t="s">
        <v>14</v>
      </c>
      <c r="Q3" s="2" t="s">
        <v>15</v>
      </c>
    </row>
    <row r="4" spans="1:35" x14ac:dyDescent="0.25">
      <c r="A4" s="61">
        <v>1</v>
      </c>
      <c r="B4" s="62" t="s">
        <v>100</v>
      </c>
      <c r="C4" s="62" t="s">
        <v>337</v>
      </c>
      <c r="D4" s="62">
        <v>430</v>
      </c>
      <c r="E4" s="62">
        <v>38.07</v>
      </c>
      <c r="F4" s="62">
        <v>32.49</v>
      </c>
      <c r="G4" s="62">
        <v>14</v>
      </c>
      <c r="H4" s="62">
        <v>13.24</v>
      </c>
      <c r="I4" s="62">
        <v>-0.26</v>
      </c>
      <c r="J4" s="62">
        <v>4.5999999999999999E-2</v>
      </c>
      <c r="K4" s="62">
        <v>1500</v>
      </c>
      <c r="L4" s="62">
        <v>30</v>
      </c>
      <c r="M4" s="62" t="s">
        <v>18</v>
      </c>
      <c r="N4" s="65">
        <v>1134</v>
      </c>
      <c r="O4" s="65">
        <v>1722</v>
      </c>
      <c r="P4" s="65">
        <v>30</v>
      </c>
      <c r="Q4" s="63">
        <v>24.2</v>
      </c>
    </row>
    <row r="5" spans="1:35" x14ac:dyDescent="0.25">
      <c r="A5" s="64">
        <v>2</v>
      </c>
      <c r="B5" s="65" t="s">
        <v>100</v>
      </c>
      <c r="C5" s="65" t="s">
        <v>296</v>
      </c>
      <c r="D5" s="65">
        <v>410</v>
      </c>
      <c r="E5" s="65">
        <v>37.32</v>
      </c>
      <c r="F5" s="65">
        <v>31.45</v>
      </c>
      <c r="G5" s="65">
        <v>13.95</v>
      </c>
      <c r="H5" s="65">
        <v>13.04</v>
      </c>
      <c r="I5" s="65">
        <v>-0.32</v>
      </c>
      <c r="J5" s="65">
        <v>0.05</v>
      </c>
      <c r="K5" s="65">
        <v>1500</v>
      </c>
      <c r="L5" s="65">
        <v>25</v>
      </c>
      <c r="M5" s="65" t="s">
        <v>18</v>
      </c>
      <c r="N5" s="65">
        <v>1134</v>
      </c>
      <c r="O5" s="65">
        <v>1722</v>
      </c>
      <c r="P5" s="65">
        <v>30</v>
      </c>
      <c r="Q5" s="66">
        <v>21.9</v>
      </c>
    </row>
    <row r="6" spans="1:35" x14ac:dyDescent="0.25">
      <c r="A6" s="64">
        <v>3</v>
      </c>
      <c r="B6" s="65" t="s">
        <v>100</v>
      </c>
      <c r="C6" s="65" t="s">
        <v>297</v>
      </c>
      <c r="D6" s="65">
        <v>415</v>
      </c>
      <c r="E6" s="65">
        <v>37.450000000000003</v>
      </c>
      <c r="F6" s="65">
        <v>31.61</v>
      </c>
      <c r="G6" s="65">
        <v>14.02</v>
      </c>
      <c r="H6" s="65">
        <v>13.13</v>
      </c>
      <c r="I6" s="65">
        <v>-0.32</v>
      </c>
      <c r="J6" s="65">
        <v>0.05</v>
      </c>
      <c r="K6" s="65">
        <v>1500</v>
      </c>
      <c r="L6" s="65">
        <v>25</v>
      </c>
      <c r="M6" s="65" t="s">
        <v>18</v>
      </c>
      <c r="N6" s="65">
        <v>1134</v>
      </c>
      <c r="O6" s="65">
        <v>1722</v>
      </c>
      <c r="P6" s="65">
        <v>30</v>
      </c>
      <c r="Q6" s="66">
        <v>21.9</v>
      </c>
    </row>
    <row r="7" spans="1:35" x14ac:dyDescent="0.25">
      <c r="A7" s="64">
        <v>4</v>
      </c>
      <c r="B7" s="65" t="s">
        <v>100</v>
      </c>
      <c r="C7" s="65" t="s">
        <v>298</v>
      </c>
      <c r="D7" s="65">
        <v>450</v>
      </c>
      <c r="E7" s="65">
        <v>49.3</v>
      </c>
      <c r="F7" s="65">
        <v>41.5</v>
      </c>
      <c r="G7" s="65">
        <v>11.6</v>
      </c>
      <c r="H7" s="65">
        <v>10.85</v>
      </c>
      <c r="I7" s="65">
        <v>-0.32</v>
      </c>
      <c r="J7" s="65">
        <v>0.05</v>
      </c>
      <c r="K7" s="65">
        <v>1500</v>
      </c>
      <c r="L7" s="65">
        <v>20</v>
      </c>
      <c r="M7" s="65" t="s">
        <v>18</v>
      </c>
      <c r="N7" s="65">
        <v>1038</v>
      </c>
      <c r="O7" s="65">
        <v>2094</v>
      </c>
      <c r="P7" s="65">
        <v>35</v>
      </c>
      <c r="Q7" s="66">
        <v>24.9</v>
      </c>
    </row>
    <row r="8" spans="1:35" x14ac:dyDescent="0.25">
      <c r="A8" s="64">
        <v>5</v>
      </c>
      <c r="B8" s="65" t="s">
        <v>100</v>
      </c>
      <c r="C8" s="65" t="s">
        <v>299</v>
      </c>
      <c r="D8" s="65">
        <v>460</v>
      </c>
      <c r="E8" s="65">
        <v>49.7</v>
      </c>
      <c r="F8" s="65">
        <v>41.9</v>
      </c>
      <c r="G8" s="65">
        <v>11.74</v>
      </c>
      <c r="H8" s="65">
        <v>10.98</v>
      </c>
      <c r="I8" s="65">
        <v>-0.32</v>
      </c>
      <c r="J8" s="65">
        <v>0.05</v>
      </c>
      <c r="K8" s="65">
        <v>1500</v>
      </c>
      <c r="L8" s="65">
        <v>20</v>
      </c>
      <c r="M8" s="65" t="s">
        <v>18</v>
      </c>
      <c r="N8" s="65">
        <v>1038</v>
      </c>
      <c r="O8" s="65">
        <v>2094</v>
      </c>
      <c r="P8" s="65">
        <v>35</v>
      </c>
      <c r="Q8" s="66">
        <v>24.9</v>
      </c>
    </row>
    <row r="9" spans="1:35" x14ac:dyDescent="0.25">
      <c r="A9" s="64">
        <v>6</v>
      </c>
      <c r="B9" s="65" t="s">
        <v>100</v>
      </c>
      <c r="C9" s="65" t="s">
        <v>300</v>
      </c>
      <c r="D9" s="65">
        <v>550</v>
      </c>
      <c r="E9" s="65">
        <v>50.02</v>
      </c>
      <c r="F9" s="65">
        <v>42</v>
      </c>
      <c r="G9" s="65">
        <v>13.87</v>
      </c>
      <c r="H9" s="65">
        <v>13.1</v>
      </c>
      <c r="I9" s="65">
        <v>-0.32</v>
      </c>
      <c r="J9" s="65">
        <v>0.05</v>
      </c>
      <c r="K9" s="65">
        <v>1500</v>
      </c>
      <c r="L9" s="65">
        <v>25</v>
      </c>
      <c r="M9" s="65" t="s">
        <v>18</v>
      </c>
      <c r="N9" s="65">
        <v>1134</v>
      </c>
      <c r="O9" s="65">
        <v>2279</v>
      </c>
      <c r="P9" s="65">
        <v>35</v>
      </c>
      <c r="Q9" s="66">
        <v>28.9</v>
      </c>
    </row>
    <row r="10" spans="1:35" x14ac:dyDescent="0.25">
      <c r="A10" s="64">
        <v>7</v>
      </c>
      <c r="B10" s="65" t="s">
        <v>100</v>
      </c>
      <c r="C10" s="65" t="s">
        <v>301</v>
      </c>
      <c r="D10" s="65">
        <v>555</v>
      </c>
      <c r="E10" s="65">
        <v>50.4</v>
      </c>
      <c r="F10" s="65">
        <v>42.2</v>
      </c>
      <c r="G10" s="65">
        <v>13.93</v>
      </c>
      <c r="H10" s="65">
        <v>13.16</v>
      </c>
      <c r="I10" s="65">
        <v>-0.32</v>
      </c>
      <c r="J10" s="65">
        <v>0.05</v>
      </c>
      <c r="K10" s="65">
        <v>1500</v>
      </c>
      <c r="L10" s="65">
        <v>25</v>
      </c>
      <c r="M10" s="65" t="s">
        <v>18</v>
      </c>
      <c r="N10" s="65">
        <v>1134</v>
      </c>
      <c r="O10" s="65">
        <v>2279</v>
      </c>
      <c r="P10" s="65">
        <v>35</v>
      </c>
      <c r="Q10" s="66">
        <v>28.9</v>
      </c>
    </row>
    <row r="11" spans="1:35" ht="15.75" thickBot="1" x14ac:dyDescent="0.3">
      <c r="A11" s="64">
        <v>8</v>
      </c>
      <c r="B11" s="65" t="s">
        <v>100</v>
      </c>
      <c r="C11" s="59" t="s">
        <v>302</v>
      </c>
      <c r="D11" s="59">
        <v>560</v>
      </c>
      <c r="E11" s="59">
        <v>50.6</v>
      </c>
      <c r="F11" s="59">
        <v>42.4</v>
      </c>
      <c r="G11" s="59">
        <v>13.99</v>
      </c>
      <c r="H11" s="59">
        <v>13.21</v>
      </c>
      <c r="I11" s="59">
        <v>-0.32</v>
      </c>
      <c r="J11" s="59">
        <v>0.05</v>
      </c>
      <c r="K11" s="59">
        <v>1500</v>
      </c>
      <c r="L11" s="59">
        <v>25</v>
      </c>
      <c r="M11" s="59" t="s">
        <v>18</v>
      </c>
      <c r="N11" s="59">
        <v>1134</v>
      </c>
      <c r="O11" s="59">
        <v>2279</v>
      </c>
      <c r="P11" s="59">
        <v>35</v>
      </c>
      <c r="Q11" s="60">
        <v>28.9</v>
      </c>
    </row>
    <row r="12" spans="1:35" x14ac:dyDescent="0.25">
      <c r="A12" s="64">
        <v>9</v>
      </c>
      <c r="B12" s="65" t="s">
        <v>100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35" x14ac:dyDescent="0.25">
      <c r="A13" s="64">
        <v>10</v>
      </c>
      <c r="B13" s="65" t="s">
        <v>100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</row>
    <row r="14" spans="1:35" x14ac:dyDescent="0.25">
      <c r="A14" s="64">
        <v>11</v>
      </c>
      <c r="B14" s="65" t="s">
        <v>100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</row>
    <row r="15" spans="1:35" x14ac:dyDescent="0.25">
      <c r="A15" s="64">
        <v>12</v>
      </c>
      <c r="B15" s="65" t="s">
        <v>100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 thickBot="1" x14ac:dyDescent="0.3">
      <c r="A16" s="58">
        <v>13</v>
      </c>
      <c r="B16" s="59" t="s">
        <v>100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</row>
    <row r="17" spans="1:32" x14ac:dyDescent="0.25">
      <c r="A17" s="72">
        <v>14</v>
      </c>
      <c r="B17" s="67" t="s">
        <v>303</v>
      </c>
      <c r="C17" s="67" t="s">
        <v>304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73"/>
    </row>
    <row r="18" spans="1:32" x14ac:dyDescent="0.25">
      <c r="A18" s="74">
        <v>15</v>
      </c>
      <c r="B18" s="68" t="s">
        <v>303</v>
      </c>
      <c r="C18" s="68" t="s">
        <v>305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5"/>
    </row>
    <row r="19" spans="1:32" x14ac:dyDescent="0.25">
      <c r="A19" s="74">
        <v>16</v>
      </c>
      <c r="B19" s="68" t="s">
        <v>303</v>
      </c>
      <c r="C19" s="68" t="s">
        <v>306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5"/>
    </row>
    <row r="20" spans="1:32" x14ac:dyDescent="0.25">
      <c r="A20" s="74">
        <v>17</v>
      </c>
      <c r="B20" s="68" t="s">
        <v>303</v>
      </c>
      <c r="C20" s="68" t="s">
        <v>307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5"/>
    </row>
    <row r="21" spans="1:32" x14ac:dyDescent="0.25">
      <c r="A21" s="74">
        <v>18</v>
      </c>
      <c r="B21" s="68" t="s">
        <v>303</v>
      </c>
      <c r="C21" s="68" t="s">
        <v>308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5"/>
    </row>
    <row r="22" spans="1:32" x14ac:dyDescent="0.25">
      <c r="A22" s="74">
        <v>19</v>
      </c>
      <c r="B22" s="68" t="s">
        <v>303</v>
      </c>
      <c r="C22" s="68" t="s">
        <v>309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5"/>
    </row>
    <row r="23" spans="1:32" ht="15.75" thickBot="1" x14ac:dyDescent="0.3">
      <c r="A23" s="76">
        <v>20</v>
      </c>
      <c r="B23" s="77" t="s">
        <v>303</v>
      </c>
      <c r="C23" s="77" t="s">
        <v>310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</row>
    <row r="25" spans="1:32" x14ac:dyDescent="0.25"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L14"/>
  <sheetViews>
    <sheetView workbookViewId="0">
      <pane ySplit="3" topLeftCell="A4" activePane="bottomLeft" state="frozen"/>
      <selection pane="bottomLeft" activeCell="F36" sqref="F36"/>
    </sheetView>
  </sheetViews>
  <sheetFormatPr defaultRowHeight="15" x14ac:dyDescent="0.25"/>
  <cols>
    <col min="1" max="2" width="9.140625" style="1"/>
    <col min="3" max="3" width="15.140625" style="1" bestFit="1" customWidth="1"/>
    <col min="4" max="4" width="11.7109375" style="1" bestFit="1" customWidth="1"/>
    <col min="5" max="5" width="20.5703125" style="1" bestFit="1" customWidth="1"/>
    <col min="6" max="6" width="20.7109375" style="1" bestFit="1" customWidth="1"/>
    <col min="7" max="7" width="17" style="1" bestFit="1" customWidth="1"/>
    <col min="8" max="8" width="17" style="1" customWidth="1"/>
    <col min="9" max="9" width="22.42578125" style="1" bestFit="1" customWidth="1"/>
    <col min="10" max="11" width="23.85546875" style="1" bestFit="1" customWidth="1"/>
    <col min="12" max="12" width="25" style="1" bestFit="1" customWidth="1"/>
    <col min="13" max="13" width="15.140625" style="1" bestFit="1" customWidth="1"/>
    <col min="14" max="14" width="15.140625" style="1" customWidth="1"/>
    <col min="15" max="15" width="18" style="1" bestFit="1" customWidth="1"/>
    <col min="16" max="17" width="18" style="1" customWidth="1"/>
    <col min="18" max="18" width="14" style="1" bestFit="1" customWidth="1"/>
    <col min="19" max="19" width="15.7109375" style="1" bestFit="1" customWidth="1"/>
  </cols>
  <sheetData>
    <row r="1" spans="1:38" x14ac:dyDescent="0.25">
      <c r="A1" s="5" t="s">
        <v>19</v>
      </c>
    </row>
    <row r="3" spans="1:38" ht="15.75" thickBot="1" x14ac:dyDescent="0.3">
      <c r="A3" s="2" t="s">
        <v>1</v>
      </c>
      <c r="B3" s="2" t="s">
        <v>3</v>
      </c>
      <c r="C3" s="2" t="s">
        <v>2</v>
      </c>
      <c r="D3" s="2" t="s">
        <v>34</v>
      </c>
      <c r="E3" s="2" t="s">
        <v>20</v>
      </c>
      <c r="F3" s="2" t="s">
        <v>21</v>
      </c>
      <c r="G3" s="2" t="s">
        <v>22</v>
      </c>
      <c r="H3" s="2" t="s">
        <v>35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52" t="s">
        <v>119</v>
      </c>
      <c r="O3" s="2" t="s">
        <v>31</v>
      </c>
      <c r="P3" s="2" t="s">
        <v>32</v>
      </c>
      <c r="Q3" s="2" t="s">
        <v>33</v>
      </c>
      <c r="R3" s="2" t="s">
        <v>29</v>
      </c>
      <c r="S3" s="2" t="s">
        <v>295</v>
      </c>
      <c r="T3" s="2"/>
      <c r="U3" s="2"/>
      <c r="V3" s="2"/>
    </row>
    <row r="4" spans="1:38" x14ac:dyDescent="0.25">
      <c r="A4" s="61">
        <v>1</v>
      </c>
      <c r="B4" s="62" t="s">
        <v>100</v>
      </c>
      <c r="C4" s="62" t="s">
        <v>290</v>
      </c>
      <c r="D4" s="62">
        <v>230</v>
      </c>
      <c r="E4" s="62">
        <v>3000</v>
      </c>
      <c r="F4" s="62">
        <v>3000</v>
      </c>
      <c r="G4" s="62" t="s">
        <v>30</v>
      </c>
      <c r="H4" s="62">
        <v>13</v>
      </c>
      <c r="I4" s="62">
        <v>550</v>
      </c>
      <c r="J4" s="62">
        <v>550</v>
      </c>
      <c r="K4" s="62">
        <v>100</v>
      </c>
      <c r="L4" s="62">
        <v>115</v>
      </c>
      <c r="M4" s="62">
        <v>13</v>
      </c>
      <c r="N4" s="62">
        <v>13.5</v>
      </c>
      <c r="O4" s="62">
        <v>2250</v>
      </c>
      <c r="P4" s="62">
        <v>2250</v>
      </c>
      <c r="Q4" s="62">
        <v>4500</v>
      </c>
      <c r="R4" s="62">
        <v>2</v>
      </c>
      <c r="S4" s="70">
        <v>0.96</v>
      </c>
    </row>
    <row r="5" spans="1:38" x14ac:dyDescent="0.25">
      <c r="A5" s="64">
        <v>2</v>
      </c>
      <c r="B5" s="65" t="s">
        <v>100</v>
      </c>
      <c r="C5" s="65" t="s">
        <v>291</v>
      </c>
      <c r="D5" s="65">
        <v>230</v>
      </c>
      <c r="E5" s="65">
        <v>4500</v>
      </c>
      <c r="F5" s="65">
        <v>4500</v>
      </c>
      <c r="G5" s="65" t="s">
        <v>30</v>
      </c>
      <c r="H5" s="65">
        <v>19.5</v>
      </c>
      <c r="I5" s="65">
        <v>550</v>
      </c>
      <c r="J5" s="65">
        <v>550</v>
      </c>
      <c r="K5" s="65">
        <v>100</v>
      </c>
      <c r="L5" s="65">
        <v>115</v>
      </c>
      <c r="M5" s="65">
        <v>20</v>
      </c>
      <c r="N5" s="65">
        <v>22</v>
      </c>
      <c r="O5" s="65">
        <v>3000</v>
      </c>
      <c r="P5" s="65">
        <v>3000</v>
      </c>
      <c r="Q5" s="65">
        <v>6000</v>
      </c>
      <c r="R5" s="65">
        <v>2</v>
      </c>
      <c r="S5" s="71">
        <v>0.96</v>
      </c>
    </row>
    <row r="6" spans="1:38" x14ac:dyDescent="0.25">
      <c r="A6" s="64">
        <v>3</v>
      </c>
      <c r="B6" s="65" t="s">
        <v>100</v>
      </c>
      <c r="C6" s="65" t="s">
        <v>292</v>
      </c>
      <c r="D6" s="65">
        <v>230</v>
      </c>
      <c r="E6" s="65">
        <v>6000</v>
      </c>
      <c r="F6" s="65">
        <v>6000</v>
      </c>
      <c r="G6" s="65" t="s">
        <v>30</v>
      </c>
      <c r="H6" s="65">
        <v>26.1</v>
      </c>
      <c r="I6" s="65">
        <v>550</v>
      </c>
      <c r="J6" s="65">
        <v>550</v>
      </c>
      <c r="K6" s="65">
        <v>100</v>
      </c>
      <c r="L6" s="65">
        <v>115</v>
      </c>
      <c r="M6" s="65">
        <v>20</v>
      </c>
      <c r="N6" s="65">
        <v>22</v>
      </c>
      <c r="O6" s="65">
        <v>4000</v>
      </c>
      <c r="P6" s="65">
        <v>4000</v>
      </c>
      <c r="Q6" s="65">
        <v>8000</v>
      </c>
      <c r="R6" s="65">
        <v>2</v>
      </c>
      <c r="S6" s="71">
        <v>0.96</v>
      </c>
    </row>
    <row r="7" spans="1:38" x14ac:dyDescent="0.25">
      <c r="A7" s="64">
        <v>4</v>
      </c>
      <c r="B7" s="65" t="s">
        <v>100</v>
      </c>
      <c r="C7" s="65" t="s">
        <v>293</v>
      </c>
      <c r="D7" s="65">
        <v>230</v>
      </c>
      <c r="E7" s="65">
        <v>4500</v>
      </c>
      <c r="F7" s="65">
        <v>4500</v>
      </c>
      <c r="G7" s="65" t="s">
        <v>30</v>
      </c>
      <c r="H7" s="65">
        <v>19.5</v>
      </c>
      <c r="I7" s="65">
        <v>550</v>
      </c>
      <c r="J7" s="65">
        <v>550</v>
      </c>
      <c r="K7" s="65">
        <v>100</v>
      </c>
      <c r="L7" s="65">
        <v>115</v>
      </c>
      <c r="M7" s="65">
        <v>20</v>
      </c>
      <c r="N7" s="65">
        <v>22</v>
      </c>
      <c r="O7" s="65">
        <v>3000</v>
      </c>
      <c r="P7" s="65">
        <v>3000</v>
      </c>
      <c r="Q7" s="65">
        <v>6000</v>
      </c>
      <c r="R7" s="65">
        <v>2</v>
      </c>
      <c r="S7" s="71">
        <v>0.96</v>
      </c>
    </row>
    <row r="8" spans="1:38" x14ac:dyDescent="0.25">
      <c r="A8" s="64">
        <v>5</v>
      </c>
      <c r="B8" s="65" t="s">
        <v>100</v>
      </c>
      <c r="C8" s="65" t="s">
        <v>294</v>
      </c>
      <c r="D8" s="65">
        <v>230</v>
      </c>
      <c r="E8" s="65">
        <v>6000</v>
      </c>
      <c r="F8" s="65">
        <v>6000</v>
      </c>
      <c r="G8" s="65" t="s">
        <v>30</v>
      </c>
      <c r="H8" s="65">
        <v>26.1</v>
      </c>
      <c r="I8" s="65">
        <v>550</v>
      </c>
      <c r="J8" s="65">
        <v>550</v>
      </c>
      <c r="K8" s="65">
        <v>100</v>
      </c>
      <c r="L8" s="65">
        <v>115</v>
      </c>
      <c r="M8" s="65">
        <v>20</v>
      </c>
      <c r="N8" s="65">
        <v>22</v>
      </c>
      <c r="O8" s="65">
        <v>4000</v>
      </c>
      <c r="P8" s="65">
        <v>4000</v>
      </c>
      <c r="Q8" s="65">
        <v>8000</v>
      </c>
      <c r="R8" s="65">
        <v>2</v>
      </c>
      <c r="S8" s="71">
        <v>0.96</v>
      </c>
    </row>
    <row r="9" spans="1:38" x14ac:dyDescent="0.25">
      <c r="A9" s="64">
        <v>6</v>
      </c>
      <c r="B9" s="65" t="s">
        <v>100</v>
      </c>
      <c r="C9" s="65" t="s">
        <v>111</v>
      </c>
      <c r="D9" s="65">
        <v>400</v>
      </c>
      <c r="E9" s="65">
        <v>5000</v>
      </c>
      <c r="F9" s="65">
        <v>5000</v>
      </c>
      <c r="G9" s="65" t="s">
        <v>102</v>
      </c>
      <c r="H9" s="65">
        <v>7.2</v>
      </c>
      <c r="I9" s="65">
        <v>1000</v>
      </c>
      <c r="J9" s="65">
        <v>950</v>
      </c>
      <c r="K9" s="65">
        <v>150</v>
      </c>
      <c r="L9" s="65">
        <v>200</v>
      </c>
      <c r="M9" s="65">
        <v>13</v>
      </c>
      <c r="N9" s="65">
        <v>13.5</v>
      </c>
      <c r="O9" s="65">
        <v>5000</v>
      </c>
      <c r="P9" s="65">
        <v>2500</v>
      </c>
      <c r="Q9" s="65">
        <v>7500</v>
      </c>
      <c r="R9" s="65">
        <v>2</v>
      </c>
      <c r="S9" s="71">
        <v>0.97</v>
      </c>
    </row>
    <row r="10" spans="1:38" x14ac:dyDescent="0.25">
      <c r="A10" s="64">
        <v>7</v>
      </c>
      <c r="B10" s="65" t="s">
        <v>100</v>
      </c>
      <c r="C10" s="65" t="s">
        <v>110</v>
      </c>
      <c r="D10" s="65">
        <v>400</v>
      </c>
      <c r="E10" s="65">
        <v>6000</v>
      </c>
      <c r="F10" s="65">
        <v>6000</v>
      </c>
      <c r="G10" s="65" t="s">
        <v>102</v>
      </c>
      <c r="H10" s="65">
        <v>8.6999999999999993</v>
      </c>
      <c r="I10" s="65">
        <v>1000</v>
      </c>
      <c r="J10" s="65">
        <v>950</v>
      </c>
      <c r="K10" s="65">
        <v>150</v>
      </c>
      <c r="L10" s="65">
        <v>200</v>
      </c>
      <c r="M10" s="65">
        <v>13</v>
      </c>
      <c r="N10" s="65">
        <v>13.5</v>
      </c>
      <c r="O10" s="65">
        <v>6500</v>
      </c>
      <c r="P10" s="65">
        <v>2500</v>
      </c>
      <c r="Q10" s="65">
        <v>9000</v>
      </c>
      <c r="R10" s="65">
        <v>2</v>
      </c>
      <c r="S10" s="71">
        <v>0.97</v>
      </c>
    </row>
    <row r="11" spans="1:38" x14ac:dyDescent="0.25">
      <c r="A11" s="64">
        <v>8</v>
      </c>
      <c r="B11" s="65" t="s">
        <v>100</v>
      </c>
      <c r="C11" s="65" t="s">
        <v>103</v>
      </c>
      <c r="D11" s="65">
        <v>400</v>
      </c>
      <c r="E11" s="65">
        <v>8000</v>
      </c>
      <c r="F11" s="65">
        <v>8000</v>
      </c>
      <c r="G11" s="65" t="s">
        <v>102</v>
      </c>
      <c r="H11" s="65">
        <v>11.5</v>
      </c>
      <c r="I11" s="65">
        <v>1000</v>
      </c>
      <c r="J11" s="65">
        <v>950</v>
      </c>
      <c r="K11" s="65">
        <v>150</v>
      </c>
      <c r="L11" s="65">
        <v>200</v>
      </c>
      <c r="M11" s="65">
        <v>13</v>
      </c>
      <c r="N11" s="65">
        <v>13.5</v>
      </c>
      <c r="O11" s="65">
        <v>8500</v>
      </c>
      <c r="P11" s="65">
        <v>3500</v>
      </c>
      <c r="Q11" s="65">
        <v>12000</v>
      </c>
      <c r="R11" s="65">
        <v>2</v>
      </c>
      <c r="S11" s="71">
        <v>0.97</v>
      </c>
    </row>
    <row r="12" spans="1:38" x14ac:dyDescent="0.25">
      <c r="A12" s="64">
        <v>9</v>
      </c>
      <c r="B12" s="65" t="s">
        <v>100</v>
      </c>
      <c r="C12" s="65" t="s">
        <v>101</v>
      </c>
      <c r="D12" s="65">
        <v>400</v>
      </c>
      <c r="E12" s="65">
        <v>10000</v>
      </c>
      <c r="F12" s="65">
        <v>10000</v>
      </c>
      <c r="G12" s="65" t="s">
        <v>102</v>
      </c>
      <c r="H12" s="65">
        <v>14.5</v>
      </c>
      <c r="I12" s="65">
        <v>1000</v>
      </c>
      <c r="J12" s="65">
        <v>950</v>
      </c>
      <c r="K12" s="65">
        <v>150</v>
      </c>
      <c r="L12" s="65">
        <v>200</v>
      </c>
      <c r="M12" s="65">
        <v>13</v>
      </c>
      <c r="N12" s="65">
        <v>13.5</v>
      </c>
      <c r="O12" s="65">
        <v>10000</v>
      </c>
      <c r="P12" s="65">
        <v>5000</v>
      </c>
      <c r="Q12" s="65">
        <v>15000</v>
      </c>
      <c r="R12" s="65">
        <v>2</v>
      </c>
      <c r="S12" s="71">
        <v>0.97</v>
      </c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71"/>
    </row>
    <row r="13" spans="1:38" x14ac:dyDescent="0.25">
      <c r="A13" s="64">
        <v>10</v>
      </c>
      <c r="B13" s="65" t="s">
        <v>280</v>
      </c>
      <c r="C13" s="65" t="s">
        <v>278</v>
      </c>
      <c r="D13" s="65">
        <v>230</v>
      </c>
      <c r="E13" s="65">
        <v>3680</v>
      </c>
      <c r="F13" s="65">
        <v>3680</v>
      </c>
      <c r="G13" s="65" t="s">
        <v>30</v>
      </c>
      <c r="H13" s="65">
        <v>16</v>
      </c>
      <c r="I13" s="65">
        <v>580</v>
      </c>
      <c r="J13" s="65">
        <v>560</v>
      </c>
      <c r="K13" s="65">
        <v>80</v>
      </c>
      <c r="L13" s="65">
        <v>90</v>
      </c>
      <c r="M13" s="65">
        <v>15</v>
      </c>
      <c r="N13" s="65">
        <v>15</v>
      </c>
      <c r="O13" s="65">
        <v>2400</v>
      </c>
      <c r="P13" s="65">
        <v>2400</v>
      </c>
      <c r="Q13" s="65">
        <v>4800</v>
      </c>
      <c r="R13" s="65">
        <v>2</v>
      </c>
      <c r="S13" s="71">
        <v>0.97</v>
      </c>
    </row>
    <row r="14" spans="1:38" ht="15.75" thickBot="1" x14ac:dyDescent="0.3">
      <c r="A14" s="58">
        <v>11</v>
      </c>
      <c r="B14" s="59" t="s">
        <v>280</v>
      </c>
      <c r="C14" s="59" t="s">
        <v>279</v>
      </c>
      <c r="D14" s="59">
        <v>230</v>
      </c>
      <c r="E14" s="59">
        <v>5000</v>
      </c>
      <c r="F14" s="59">
        <v>5000</v>
      </c>
      <c r="G14" s="59" t="s">
        <v>30</v>
      </c>
      <c r="H14" s="59">
        <v>22</v>
      </c>
      <c r="I14" s="59">
        <v>580</v>
      </c>
      <c r="J14" s="59">
        <v>560</v>
      </c>
      <c r="K14" s="59">
        <v>80</v>
      </c>
      <c r="L14" s="59">
        <v>90</v>
      </c>
      <c r="M14" s="59">
        <v>15</v>
      </c>
      <c r="N14" s="59">
        <v>15</v>
      </c>
      <c r="O14" s="59">
        <v>3250</v>
      </c>
      <c r="P14" s="59">
        <v>3250</v>
      </c>
      <c r="Q14" s="59">
        <v>6500</v>
      </c>
      <c r="R14" s="59">
        <v>2</v>
      </c>
      <c r="S14" s="69">
        <v>0.97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C1" workbookViewId="0">
      <selection activeCell="K11" sqref="K11"/>
    </sheetView>
  </sheetViews>
  <sheetFormatPr defaultRowHeight="15" x14ac:dyDescent="0.25"/>
  <cols>
    <col min="1" max="1" width="18.28515625" bestFit="1" customWidth="1"/>
    <col min="2" max="2" width="80.42578125" bestFit="1" customWidth="1"/>
    <col min="5" max="5" width="9.7109375" bestFit="1" customWidth="1"/>
    <col min="6" max="6" width="14.85546875" bestFit="1" customWidth="1"/>
    <col min="7" max="7" width="9.7109375" bestFit="1" customWidth="1"/>
    <col min="8" max="8" width="14.28515625" bestFit="1" customWidth="1"/>
    <col min="10" max="10" width="20.28515625" bestFit="1" customWidth="1"/>
    <col min="11" max="11" width="80.42578125" bestFit="1" customWidth="1"/>
    <col min="13" max="13" width="12.7109375" bestFit="1" customWidth="1"/>
  </cols>
  <sheetData>
    <row r="1" spans="1:16" x14ac:dyDescent="0.25">
      <c r="B1" s="4" t="s">
        <v>163</v>
      </c>
      <c r="C1" t="s">
        <v>170</v>
      </c>
      <c r="D1" t="s">
        <v>171</v>
      </c>
      <c r="E1" t="s">
        <v>184</v>
      </c>
      <c r="G1" s="1" t="s">
        <v>1</v>
      </c>
      <c r="H1" t="s">
        <v>170</v>
      </c>
      <c r="I1" s="1" t="s">
        <v>179</v>
      </c>
      <c r="J1" s="5" t="s">
        <v>175</v>
      </c>
      <c r="L1" t="s">
        <v>176</v>
      </c>
      <c r="O1" s="1" t="s">
        <v>178</v>
      </c>
      <c r="P1" s="1" t="s">
        <v>177</v>
      </c>
    </row>
    <row r="2" spans="1:16" x14ac:dyDescent="0.25">
      <c r="A2" t="s">
        <v>157</v>
      </c>
      <c r="B2" t="s">
        <v>158</v>
      </c>
      <c r="C2" s="53">
        <v>2.4</v>
      </c>
      <c r="D2" s="1">
        <v>2</v>
      </c>
      <c r="E2" s="55">
        <f>IF(Configuratore!W55=B43,1,0)+IF(Configuratore!W55=B44,2,0)+IF(Configuratore!W55=B45,3,0)+IF(Configuratore!W55=B46,4,0)+IF(Configuratore!W55=B6,5,0)+IF(Configuratore!W55=B21,6,0)+IF(Configuratore!W55=B17,7,0)+IF(Configuratore!W55=B54,8,0)</f>
        <v>4</v>
      </c>
      <c r="F2" s="82" t="str">
        <f>CHOOSE($E$2,"",H2,H20,H101,H43,H58,H73,H89,)</f>
        <v>iPack C 6,5 kWh</v>
      </c>
      <c r="G2" s="1">
        <v>1</v>
      </c>
      <c r="H2" s="84" t="s">
        <v>248</v>
      </c>
      <c r="I2" s="1">
        <v>1</v>
      </c>
      <c r="J2" s="1" t="s">
        <v>201</v>
      </c>
      <c r="K2" s="86" t="str">
        <f>B3</f>
        <v>Batteria Pylontech +BMS LiFePO4 3,55kWh 3U-Rack 48V 37A DoD-95% 13x44x42cm 32Kg</v>
      </c>
      <c r="L2" s="1">
        <v>3</v>
      </c>
      <c r="M2" s="85" t="str">
        <f>A26</f>
        <v>BPY Rack-06U</v>
      </c>
      <c r="O2" s="1">
        <v>22</v>
      </c>
      <c r="P2" s="1">
        <f>I2*O2</f>
        <v>22</v>
      </c>
    </row>
    <row r="3" spans="1:16" x14ac:dyDescent="0.25">
      <c r="A3" t="s">
        <v>159</v>
      </c>
      <c r="B3" t="s">
        <v>160</v>
      </c>
      <c r="C3" s="53">
        <v>3.55</v>
      </c>
      <c r="D3" s="1">
        <v>3</v>
      </c>
      <c r="F3" s="82" t="str">
        <f>CHOOSE($E$2,"",H3,H21,H102,H44,H59,H74,H90)</f>
        <v>iPack C 13 kWh</v>
      </c>
      <c r="G3" s="1">
        <v>2</v>
      </c>
      <c r="H3" s="84" t="s">
        <v>249</v>
      </c>
      <c r="I3" s="1">
        <v>1</v>
      </c>
      <c r="J3" s="1" t="s">
        <v>328</v>
      </c>
      <c r="K3" s="86"/>
      <c r="L3" s="1">
        <v>4</v>
      </c>
      <c r="M3" s="85" t="str">
        <f>A26</f>
        <v>BPY Rack-06U</v>
      </c>
      <c r="O3" s="1">
        <v>32</v>
      </c>
      <c r="P3" s="1">
        <f>I3*O3</f>
        <v>32</v>
      </c>
    </row>
    <row r="4" spans="1:16" x14ac:dyDescent="0.25">
      <c r="A4" t="s">
        <v>161</v>
      </c>
      <c r="B4" t="s">
        <v>162</v>
      </c>
      <c r="C4" s="53"/>
      <c r="D4" s="1">
        <v>1</v>
      </c>
      <c r="E4" s="55">
        <f>IF(Configuratore!W57=SdA!H2,1,0)+IF(Configuratore!W57=H3,2,0)+IF(Configuratore!W57=SdA!H4,3,0)+IF(Configuratore!W57=SdA!H5,4,0)+IF(Configuratore!W57=SdA!H6,5,0)+IF(Configuratore!W57=SdA!H7,6,0)+IF(Configuratore!W57=SdA!H8,7,0)+IF(Configuratore!W57=SdA!H9,8,0)+IF(Configuratore!W57=SdA!H10,9,0)+IF(Configuratore!W57=SdA!H11,10,0)+IF(Configuratore!W57=SdA!H12,11,0)+IF(Configuratore!W57=SdA!H13,12,0)+IF(Configuratore!W57=SdA!H14,13,0)+IF(Configuratore!W57=SdA!H15,14,0)+IF(Configuratore!W57=SdA!H16,15,0)+IF(Configuratore!W57=SdA!H20,16,0)+IF(Configuratore!W57=SdA!H21,17,0)+IF(Configuratore!W57=SdA!H22,18,0)+IF(Configuratore!W57=SdA!H23,19,0)+IF(Configuratore!W57=SdA!H24,20,0)+IF(Configuratore!W57=SdA!H25,21,0)+IF(Configuratore!W57=SdA!H26,22,0)+IF(Configuratore!W57=SdA!H27,23,0)+IF(Configuratore!W57=SdA!H28,24,0)+IF(Configuratore!W57=SdA!H29,25,0)+IF(Configuratore!W57=SdA!H30,26,0)+IF(Configuratore!W57=SdA!H31,27,0)+IF(Configuratore!W57=H43,28,0)+IF(Configuratore!W57=H44,29,0)+IF(Configuratore!W57=H45,30,0)+IF(Configuratore!W57=SdA!H46,31,0)+IF(Configuratore!W57=SdA!H47,32,0)+IF(Configuratore!W57=SdA!H48,33,0)+IF(Configuratore!W57=SdA!H49,34,0)+IF(Configuratore!W57=SdA!H50,35,0)+IF(Configuratore!W57=SdA!H51,36,0)+IF(Configuratore!W57=SdA!H52,37,0)+IF(Configuratore!W57=SdA!H53,38,0)+IF(Configuratore!W57=SdA!H54,39,0)+IF(Configuratore!W57=SdA!H55,40,0)+IF(Configuratore!W57=SdA!H58,41,0)+IF(Configuratore!W57=SdA!H59,42,0)+IF(Configuratore!W57=SdA!H60,43,0)+IF(Configuratore!W57=SdA!H61,44,0)+IF(Configuratore!W57=SdA!H62,45,0)+IF(Configuratore!W57=SdA!H73,46,0)+IF(Configuratore!W57=SdA!H74,47,0)+IF(Configuratore!W57=SdA!H75,48,0)+IF(Configuratore!W57=SdA!H89,49,0)+IF(Configuratore!W57=SdA!H90,50,0)+IF(Configuratore!W57=SdA!H91,51,0)+IF(Configuratore!W57=SdA!H92,52,0)+IF(Configuratore!W57=SdA!H101,53,0)+IF(Configuratore!W57=SdA!H102,54,0)+IF(Configuratore!W57=SdA!H103,55,0)+IF(Configuratore!W57=SdA!H104,56,0)+IF(Configuratore!W57=SdA!H105,57,0)</f>
        <v>54</v>
      </c>
      <c r="F4" s="82" t="str">
        <f>CHOOSE($E$2,"",H4,H22,H103,H45,H60,H75,H91)</f>
        <v>iPack C 19,5 kWh</v>
      </c>
      <c r="G4" s="1">
        <v>3</v>
      </c>
      <c r="H4" s="84" t="s">
        <v>250</v>
      </c>
      <c r="I4" s="1">
        <v>2</v>
      </c>
      <c r="J4" s="1" t="s">
        <v>202</v>
      </c>
      <c r="K4" s="86"/>
      <c r="L4" s="1">
        <v>6</v>
      </c>
      <c r="M4" s="85" t="str">
        <f>A26</f>
        <v>BPY Rack-06U</v>
      </c>
      <c r="O4" s="1">
        <v>22</v>
      </c>
      <c r="P4" s="1">
        <f>I4*O4</f>
        <v>44</v>
      </c>
    </row>
    <row r="5" spans="1:16" x14ac:dyDescent="0.25">
      <c r="C5" s="53"/>
      <c r="D5" s="1"/>
      <c r="F5" s="82" t="str">
        <f>CHOOSE($E$2,"",H5,H23,H104,H46,H61,H76,H92)</f>
        <v>iPack C 26 kWh</v>
      </c>
      <c r="G5" s="1">
        <v>4</v>
      </c>
      <c r="H5" s="84" t="s">
        <v>251</v>
      </c>
      <c r="I5" s="1">
        <v>2</v>
      </c>
      <c r="J5" s="1" t="s">
        <v>329</v>
      </c>
      <c r="K5" s="86"/>
      <c r="L5" s="1">
        <v>8</v>
      </c>
      <c r="M5" s="85" t="str">
        <f>A27</f>
        <v>BPY Rack-09U</v>
      </c>
      <c r="O5" s="1">
        <v>32</v>
      </c>
      <c r="P5" s="1">
        <f t="shared" ref="P5:P16" si="0">I5*O5</f>
        <v>64</v>
      </c>
    </row>
    <row r="6" spans="1:16" x14ac:dyDescent="0.25">
      <c r="B6" s="4" t="s">
        <v>166</v>
      </c>
      <c r="C6" s="53"/>
      <c r="D6" s="1"/>
      <c r="F6" s="82" t="str">
        <f>CHOOSE($E$2,"",H6,H24,H105,H47,H62,H77,H93)</f>
        <v>iPack C 32,5 kWh</v>
      </c>
      <c r="G6" s="1">
        <v>5</v>
      </c>
      <c r="H6" s="84" t="s">
        <v>252</v>
      </c>
      <c r="I6" s="1">
        <v>3</v>
      </c>
      <c r="J6" s="1" t="s">
        <v>203</v>
      </c>
      <c r="K6" s="86"/>
      <c r="L6" s="1">
        <v>9</v>
      </c>
      <c r="M6" s="85" t="str">
        <f>A27</f>
        <v>BPY Rack-09U</v>
      </c>
      <c r="O6" s="1">
        <v>22</v>
      </c>
      <c r="P6" s="1">
        <f t="shared" si="0"/>
        <v>66</v>
      </c>
    </row>
    <row r="7" spans="1:16" x14ac:dyDescent="0.25">
      <c r="A7" t="s">
        <v>133</v>
      </c>
      <c r="B7" t="s">
        <v>134</v>
      </c>
      <c r="C7" s="53">
        <v>2.4</v>
      </c>
      <c r="D7" s="1">
        <v>2</v>
      </c>
      <c r="F7" s="82" t="str">
        <f t="shared" ref="F7:F14" si="1">CHOOSE($E$2,"",H7,H25,"",H48,H63,H78,H94)</f>
        <v/>
      </c>
      <c r="G7" s="1">
        <v>6</v>
      </c>
      <c r="H7" s="84" t="s">
        <v>253</v>
      </c>
      <c r="I7" s="1">
        <v>4</v>
      </c>
      <c r="J7" s="1" t="s">
        <v>204</v>
      </c>
      <c r="K7" s="86"/>
      <c r="L7" s="1">
        <v>12</v>
      </c>
      <c r="M7" s="85" t="str">
        <f>A28</f>
        <v>BPY Rack-12U</v>
      </c>
      <c r="O7" s="1">
        <v>22</v>
      </c>
      <c r="P7" s="1">
        <f t="shared" si="0"/>
        <v>88</v>
      </c>
    </row>
    <row r="8" spans="1:16" x14ac:dyDescent="0.25">
      <c r="A8" t="s">
        <v>135</v>
      </c>
      <c r="B8" t="s">
        <v>136</v>
      </c>
      <c r="C8" s="53">
        <v>3.55</v>
      </c>
      <c r="D8" s="1">
        <v>3</v>
      </c>
      <c r="F8" s="82" t="str">
        <f t="shared" si="1"/>
        <v/>
      </c>
      <c r="G8" s="1">
        <v>7</v>
      </c>
      <c r="H8" s="84" t="s">
        <v>254</v>
      </c>
      <c r="I8" s="1">
        <v>3</v>
      </c>
      <c r="J8" s="1" t="s">
        <v>330</v>
      </c>
      <c r="K8" s="86"/>
      <c r="L8" s="1">
        <v>12</v>
      </c>
      <c r="M8" s="85" t="str">
        <f>A28</f>
        <v>BPY Rack-12U</v>
      </c>
      <c r="O8" s="1">
        <v>32</v>
      </c>
      <c r="P8" s="1">
        <f t="shared" si="0"/>
        <v>96</v>
      </c>
    </row>
    <row r="9" spans="1:16" x14ac:dyDescent="0.25">
      <c r="A9" t="s">
        <v>137</v>
      </c>
      <c r="B9" t="s">
        <v>138</v>
      </c>
      <c r="C9" s="53"/>
      <c r="D9" s="1">
        <v>1</v>
      </c>
      <c r="F9" s="82" t="str">
        <f t="shared" si="1"/>
        <v/>
      </c>
      <c r="G9" s="1">
        <v>8</v>
      </c>
      <c r="H9" s="84" t="s">
        <v>255</v>
      </c>
      <c r="I9" s="1">
        <v>5</v>
      </c>
      <c r="J9" s="1" t="s">
        <v>205</v>
      </c>
      <c r="K9" s="86"/>
      <c r="L9" s="1">
        <v>15</v>
      </c>
      <c r="M9" s="85" t="str">
        <f>A29</f>
        <v>BPY Rack-24U</v>
      </c>
      <c r="O9" s="1">
        <v>22</v>
      </c>
      <c r="P9" s="1">
        <f t="shared" si="0"/>
        <v>110</v>
      </c>
    </row>
    <row r="10" spans="1:16" x14ac:dyDescent="0.25">
      <c r="A10" t="s">
        <v>139</v>
      </c>
      <c r="B10" t="s">
        <v>140</v>
      </c>
      <c r="C10" s="53"/>
      <c r="D10" s="1">
        <v>3</v>
      </c>
      <c r="F10" s="82" t="str">
        <f t="shared" si="1"/>
        <v/>
      </c>
      <c r="G10" s="1">
        <v>9</v>
      </c>
      <c r="H10" s="84" t="s">
        <v>331</v>
      </c>
      <c r="I10" s="1">
        <v>4</v>
      </c>
      <c r="J10" s="1" t="s">
        <v>332</v>
      </c>
      <c r="K10" s="86"/>
      <c r="L10" s="1">
        <v>16</v>
      </c>
      <c r="M10" s="85" t="str">
        <f>A29</f>
        <v>BPY Rack-24U</v>
      </c>
      <c r="O10" s="1">
        <v>32</v>
      </c>
      <c r="P10" s="1">
        <f t="shared" si="0"/>
        <v>128</v>
      </c>
    </row>
    <row r="11" spans="1:16" x14ac:dyDescent="0.25">
      <c r="A11" t="s">
        <v>141</v>
      </c>
      <c r="B11" t="s">
        <v>142</v>
      </c>
      <c r="C11" s="53"/>
      <c r="D11" s="1">
        <v>3</v>
      </c>
      <c r="F11" s="82" t="str">
        <f t="shared" si="1"/>
        <v/>
      </c>
      <c r="G11" s="1">
        <v>10</v>
      </c>
      <c r="H11" s="84" t="s">
        <v>256</v>
      </c>
      <c r="I11" s="1">
        <v>6</v>
      </c>
      <c r="J11" s="1" t="s">
        <v>206</v>
      </c>
      <c r="K11" s="86"/>
      <c r="L11" s="1">
        <v>18</v>
      </c>
      <c r="M11" s="85" t="str">
        <f>A29</f>
        <v>BPY Rack-24U</v>
      </c>
      <c r="O11" s="1">
        <v>22</v>
      </c>
      <c r="P11" s="1">
        <f t="shared" si="0"/>
        <v>132</v>
      </c>
    </row>
    <row r="12" spans="1:16" x14ac:dyDescent="0.25">
      <c r="C12" s="53"/>
      <c r="F12" s="82" t="str">
        <f t="shared" si="1"/>
        <v/>
      </c>
      <c r="G12" s="1">
        <v>11</v>
      </c>
      <c r="H12" s="84" t="s">
        <v>333</v>
      </c>
      <c r="I12" s="1">
        <v>5</v>
      </c>
      <c r="J12" s="1" t="s">
        <v>334</v>
      </c>
      <c r="K12" s="86"/>
      <c r="L12" s="1">
        <v>20</v>
      </c>
      <c r="M12" s="85" t="str">
        <f>A29</f>
        <v>BPY Rack-24U</v>
      </c>
      <c r="O12" s="1">
        <v>22</v>
      </c>
      <c r="P12" s="1">
        <f t="shared" si="0"/>
        <v>110</v>
      </c>
    </row>
    <row r="13" spans="1:16" x14ac:dyDescent="0.25">
      <c r="B13" s="4" t="s">
        <v>164</v>
      </c>
      <c r="C13" s="53"/>
      <c r="F13" s="82" t="str">
        <f t="shared" si="1"/>
        <v/>
      </c>
      <c r="G13" s="1">
        <v>12</v>
      </c>
      <c r="H13" s="84" t="s">
        <v>257</v>
      </c>
      <c r="I13" s="1">
        <v>7</v>
      </c>
      <c r="J13" s="1" t="s">
        <v>207</v>
      </c>
      <c r="K13" s="86"/>
      <c r="L13" s="1">
        <f>D3*I13</f>
        <v>21</v>
      </c>
      <c r="M13" s="85" t="str">
        <f>A29</f>
        <v>BPY Rack-24U</v>
      </c>
      <c r="O13" s="1">
        <v>32</v>
      </c>
      <c r="P13" s="1">
        <f t="shared" si="0"/>
        <v>224</v>
      </c>
    </row>
    <row r="14" spans="1:16" x14ac:dyDescent="0.25">
      <c r="A14" t="s">
        <v>122</v>
      </c>
      <c r="B14" t="s">
        <v>123</v>
      </c>
      <c r="C14" s="53"/>
      <c r="F14" s="82" t="str">
        <f t="shared" si="1"/>
        <v/>
      </c>
      <c r="G14" s="1">
        <v>13</v>
      </c>
      <c r="H14" s="84" t="s">
        <v>258</v>
      </c>
      <c r="I14" s="1">
        <v>8</v>
      </c>
      <c r="J14" s="1" t="s">
        <v>208</v>
      </c>
      <c r="K14" s="86"/>
      <c r="L14" s="1">
        <f>D3*I14</f>
        <v>24</v>
      </c>
      <c r="M14" s="85" t="str">
        <f>A29</f>
        <v>BPY Rack-24U</v>
      </c>
      <c r="O14" s="1">
        <v>32</v>
      </c>
      <c r="P14" s="1">
        <f t="shared" si="0"/>
        <v>256</v>
      </c>
    </row>
    <row r="15" spans="1:16" x14ac:dyDescent="0.25">
      <c r="A15" t="s">
        <v>124</v>
      </c>
      <c r="B15" t="s">
        <v>125</v>
      </c>
      <c r="C15" s="53">
        <v>3.55</v>
      </c>
      <c r="F15" s="82">
        <f>CHOOSE($E$2,"",H15,"",H40,H56,H71,H86,H102)</f>
        <v>0</v>
      </c>
      <c r="G15" s="1">
        <v>14</v>
      </c>
      <c r="H15" s="84" t="s">
        <v>336</v>
      </c>
      <c r="I15" s="1">
        <v>6</v>
      </c>
      <c r="J15" s="1" t="s">
        <v>335</v>
      </c>
      <c r="K15" s="86"/>
      <c r="L15" s="1">
        <v>24</v>
      </c>
      <c r="M15" s="85" t="str">
        <f>A29</f>
        <v>BPY Rack-24U</v>
      </c>
      <c r="O15" s="1">
        <v>32</v>
      </c>
      <c r="P15" s="1">
        <f t="shared" si="0"/>
        <v>192</v>
      </c>
    </row>
    <row r="16" spans="1:16" x14ac:dyDescent="0.25">
      <c r="C16" s="53"/>
      <c r="F16" s="82">
        <f>CHOOSE($E$2,"",H16,"",H41,H57,H72,H87,H103)</f>
        <v>0</v>
      </c>
      <c r="G16" s="1">
        <v>15</v>
      </c>
      <c r="H16" s="84"/>
      <c r="I16" s="1"/>
      <c r="L16" s="1"/>
      <c r="M16" s="85"/>
      <c r="O16" s="1"/>
      <c r="P16" s="1">
        <f t="shared" si="0"/>
        <v>0</v>
      </c>
    </row>
    <row r="17" spans="1:12" x14ac:dyDescent="0.25">
      <c r="B17" s="4" t="s">
        <v>165</v>
      </c>
      <c r="C17" s="53"/>
    </row>
    <row r="18" spans="1:12" x14ac:dyDescent="0.25">
      <c r="A18" t="s">
        <v>126</v>
      </c>
      <c r="B18" t="s">
        <v>127</v>
      </c>
      <c r="C18" s="53"/>
    </row>
    <row r="19" spans="1:12" x14ac:dyDescent="0.25">
      <c r="A19" t="s">
        <v>128</v>
      </c>
      <c r="B19" t="s">
        <v>129</v>
      </c>
      <c r="C19" s="53">
        <v>3.55</v>
      </c>
      <c r="J19" s="4" t="s">
        <v>185</v>
      </c>
    </row>
    <row r="20" spans="1:12" x14ac:dyDescent="0.25">
      <c r="C20" s="53"/>
      <c r="G20" s="84">
        <v>16</v>
      </c>
      <c r="H20" s="85" t="s">
        <v>236</v>
      </c>
      <c r="I20" s="85">
        <v>1</v>
      </c>
      <c r="J20" s="85" t="s">
        <v>189</v>
      </c>
      <c r="K20" s="85" t="s">
        <v>186</v>
      </c>
      <c r="L20" s="1"/>
    </row>
    <row r="21" spans="1:12" x14ac:dyDescent="0.25">
      <c r="B21" s="4" t="s">
        <v>167</v>
      </c>
      <c r="C21" s="53"/>
      <c r="G21" s="84">
        <v>17</v>
      </c>
      <c r="H21" s="85" t="s">
        <v>237</v>
      </c>
      <c r="I21" s="85">
        <v>2</v>
      </c>
      <c r="J21" s="85" t="s">
        <v>190</v>
      </c>
      <c r="K21" s="85" t="s">
        <v>186</v>
      </c>
      <c r="L21" s="1"/>
    </row>
    <row r="22" spans="1:12" x14ac:dyDescent="0.25">
      <c r="A22" t="s">
        <v>169</v>
      </c>
      <c r="B22" t="s">
        <v>130</v>
      </c>
      <c r="C22" s="53"/>
      <c r="G22" s="84">
        <v>18</v>
      </c>
      <c r="H22" s="85" t="s">
        <v>238</v>
      </c>
      <c r="I22" s="85">
        <v>3</v>
      </c>
      <c r="J22" s="85" t="s">
        <v>191</v>
      </c>
      <c r="K22" s="85" t="s">
        <v>186</v>
      </c>
      <c r="L22" s="1"/>
    </row>
    <row r="23" spans="1:12" x14ac:dyDescent="0.25">
      <c r="A23" t="s">
        <v>131</v>
      </c>
      <c r="B23" t="s">
        <v>132</v>
      </c>
      <c r="C23" s="53">
        <v>3.55</v>
      </c>
      <c r="G23" s="84">
        <v>19</v>
      </c>
      <c r="H23" s="85" t="s">
        <v>239</v>
      </c>
      <c r="I23" s="85">
        <v>4</v>
      </c>
      <c r="J23" s="85" t="s">
        <v>192</v>
      </c>
      <c r="K23" s="85" t="s">
        <v>186</v>
      </c>
      <c r="L23" s="1"/>
    </row>
    <row r="24" spans="1:12" x14ac:dyDescent="0.25">
      <c r="C24" s="53"/>
      <c r="G24" s="84">
        <v>20</v>
      </c>
      <c r="H24" s="85" t="s">
        <v>240</v>
      </c>
      <c r="I24" s="85">
        <v>5</v>
      </c>
      <c r="J24" s="85" t="s">
        <v>193</v>
      </c>
      <c r="K24" s="85" t="s">
        <v>187</v>
      </c>
      <c r="L24" s="1"/>
    </row>
    <row r="25" spans="1:12" x14ac:dyDescent="0.25">
      <c r="B25" s="4" t="s">
        <v>168</v>
      </c>
      <c r="C25" s="53"/>
      <c r="G25" s="84">
        <v>21</v>
      </c>
      <c r="H25" s="85" t="s">
        <v>241</v>
      </c>
      <c r="I25" s="85">
        <v>6</v>
      </c>
      <c r="J25" s="85" t="s">
        <v>194</v>
      </c>
      <c r="K25" s="85" t="s">
        <v>187</v>
      </c>
      <c r="L25" s="1"/>
    </row>
    <row r="26" spans="1:12" x14ac:dyDescent="0.25">
      <c r="A26" t="s">
        <v>143</v>
      </c>
      <c r="B26" t="s">
        <v>144</v>
      </c>
      <c r="C26" s="53"/>
      <c r="G26" s="84">
        <v>22</v>
      </c>
      <c r="H26" s="85" t="s">
        <v>242</v>
      </c>
      <c r="I26" s="85">
        <v>7</v>
      </c>
      <c r="J26" s="85" t="s">
        <v>195</v>
      </c>
      <c r="K26" s="85" t="s">
        <v>187</v>
      </c>
      <c r="L26" s="1"/>
    </row>
    <row r="27" spans="1:12" x14ac:dyDescent="0.25">
      <c r="A27" t="s">
        <v>145</v>
      </c>
      <c r="B27" t="s">
        <v>146</v>
      </c>
      <c r="C27" s="53"/>
      <c r="G27" s="84">
        <v>23</v>
      </c>
      <c r="H27" s="85" t="s">
        <v>243</v>
      </c>
      <c r="I27" s="85">
        <v>8</v>
      </c>
      <c r="J27" s="85" t="s">
        <v>196</v>
      </c>
      <c r="K27" s="85" t="s">
        <v>187</v>
      </c>
      <c r="L27" s="1"/>
    </row>
    <row r="28" spans="1:12" x14ac:dyDescent="0.25">
      <c r="A28" t="s">
        <v>147</v>
      </c>
      <c r="B28" t="s">
        <v>148</v>
      </c>
      <c r="C28" s="53"/>
      <c r="G28" s="84">
        <v>24</v>
      </c>
      <c r="H28" s="85" t="s">
        <v>244</v>
      </c>
      <c r="I28" s="85">
        <v>9</v>
      </c>
      <c r="J28" s="85" t="s">
        <v>197</v>
      </c>
      <c r="K28" s="85" t="s">
        <v>188</v>
      </c>
      <c r="L28" s="1"/>
    </row>
    <row r="29" spans="1:12" x14ac:dyDescent="0.25">
      <c r="A29" t="s">
        <v>149</v>
      </c>
      <c r="B29" t="s">
        <v>150</v>
      </c>
      <c r="C29" s="53"/>
      <c r="G29" s="84">
        <v>25</v>
      </c>
      <c r="H29" s="85" t="s">
        <v>245</v>
      </c>
      <c r="I29" s="85">
        <v>10</v>
      </c>
      <c r="J29" s="85" t="s">
        <v>198</v>
      </c>
      <c r="K29" s="85" t="s">
        <v>188</v>
      </c>
      <c r="L29" s="1"/>
    </row>
    <row r="30" spans="1:12" x14ac:dyDescent="0.25">
      <c r="A30" t="s">
        <v>151</v>
      </c>
      <c r="B30" t="s">
        <v>152</v>
      </c>
      <c r="C30" s="53"/>
      <c r="G30" s="84">
        <v>26</v>
      </c>
      <c r="H30" s="85" t="s">
        <v>246</v>
      </c>
      <c r="I30" s="85">
        <v>11</v>
      </c>
      <c r="J30" s="85" t="s">
        <v>199</v>
      </c>
      <c r="K30" s="85" t="s">
        <v>188</v>
      </c>
      <c r="L30" s="1"/>
    </row>
    <row r="31" spans="1:12" x14ac:dyDescent="0.25">
      <c r="A31" t="s">
        <v>153</v>
      </c>
      <c r="B31" t="s">
        <v>154</v>
      </c>
      <c r="C31" s="53"/>
      <c r="G31" s="84">
        <v>27</v>
      </c>
      <c r="H31" s="85" t="s">
        <v>247</v>
      </c>
      <c r="I31" s="85">
        <v>12</v>
      </c>
      <c r="J31" s="85" t="s">
        <v>200</v>
      </c>
      <c r="K31" s="85" t="s">
        <v>188</v>
      </c>
      <c r="L31" s="1"/>
    </row>
    <row r="32" spans="1:12" x14ac:dyDescent="0.25">
      <c r="A32" t="s">
        <v>155</v>
      </c>
      <c r="B32" t="s">
        <v>156</v>
      </c>
      <c r="C32" s="53"/>
      <c r="L32" s="1"/>
    </row>
    <row r="33" spans="1:12" x14ac:dyDescent="0.25">
      <c r="C33" s="53"/>
      <c r="L33" s="1"/>
    </row>
    <row r="34" spans="1:12" x14ac:dyDescent="0.25">
      <c r="C34" s="53"/>
      <c r="L34" s="1"/>
    </row>
    <row r="35" spans="1:12" x14ac:dyDescent="0.25">
      <c r="C35" s="53"/>
      <c r="L35" s="1"/>
    </row>
    <row r="36" spans="1:12" x14ac:dyDescent="0.25">
      <c r="C36" s="53"/>
      <c r="L36" s="1"/>
    </row>
    <row r="37" spans="1:12" x14ac:dyDescent="0.25">
      <c r="C37" s="53"/>
      <c r="L37" s="1"/>
    </row>
    <row r="38" spans="1:12" x14ac:dyDescent="0.25">
      <c r="C38" s="53"/>
      <c r="L38" s="1"/>
    </row>
    <row r="39" spans="1:12" x14ac:dyDescent="0.25">
      <c r="C39" s="53"/>
      <c r="L39" s="1"/>
    </row>
    <row r="40" spans="1:12" x14ac:dyDescent="0.25">
      <c r="G40" s="1"/>
      <c r="H40" s="83"/>
    </row>
    <row r="41" spans="1:12" x14ac:dyDescent="0.25">
      <c r="B41" t="s">
        <v>173</v>
      </c>
      <c r="G41" s="1"/>
      <c r="H41" s="83"/>
    </row>
    <row r="42" spans="1:12" x14ac:dyDescent="0.25">
      <c r="J42" s="4" t="s">
        <v>183</v>
      </c>
    </row>
    <row r="43" spans="1:12" x14ac:dyDescent="0.25">
      <c r="A43" s="137" t="s">
        <v>30</v>
      </c>
      <c r="B43" t="s">
        <v>174</v>
      </c>
      <c r="G43" s="84">
        <v>28</v>
      </c>
      <c r="H43" s="84" t="s">
        <v>223</v>
      </c>
      <c r="I43" s="84">
        <v>2</v>
      </c>
      <c r="J43" s="85" t="s">
        <v>209</v>
      </c>
      <c r="K43" s="85" t="s">
        <v>222</v>
      </c>
    </row>
    <row r="44" spans="1:12" x14ac:dyDescent="0.25">
      <c r="A44" s="137"/>
      <c r="B44" t="s">
        <v>163</v>
      </c>
      <c r="G44" s="84">
        <v>29</v>
      </c>
      <c r="H44" s="84" t="s">
        <v>224</v>
      </c>
      <c r="I44" s="84">
        <v>2</v>
      </c>
      <c r="J44" s="85" t="s">
        <v>210</v>
      </c>
      <c r="K44" s="85" t="s">
        <v>222</v>
      </c>
    </row>
    <row r="45" spans="1:12" x14ac:dyDescent="0.25">
      <c r="A45" s="137"/>
      <c r="B45" t="s">
        <v>164</v>
      </c>
      <c r="G45" s="84">
        <v>30</v>
      </c>
      <c r="H45" s="84" t="s">
        <v>225</v>
      </c>
      <c r="I45" s="84">
        <v>3</v>
      </c>
      <c r="J45" s="85" t="s">
        <v>211</v>
      </c>
      <c r="K45" s="85" t="s">
        <v>222</v>
      </c>
    </row>
    <row r="46" spans="1:12" x14ac:dyDescent="0.25">
      <c r="A46" s="39"/>
      <c r="B46" t="s">
        <v>320</v>
      </c>
      <c r="G46" s="84">
        <v>31</v>
      </c>
      <c r="H46" s="84" t="s">
        <v>226</v>
      </c>
      <c r="I46" s="84">
        <v>4</v>
      </c>
      <c r="J46" s="85" t="s">
        <v>212</v>
      </c>
      <c r="K46" s="85" t="s">
        <v>222</v>
      </c>
    </row>
    <row r="47" spans="1:12" x14ac:dyDescent="0.25">
      <c r="A47" s="39"/>
      <c r="G47" s="84">
        <v>32</v>
      </c>
      <c r="H47" s="84" t="s">
        <v>227</v>
      </c>
      <c r="I47" s="84">
        <v>3</v>
      </c>
      <c r="J47" s="85" t="s">
        <v>213</v>
      </c>
      <c r="K47" s="85" t="s">
        <v>222</v>
      </c>
    </row>
    <row r="48" spans="1:12" x14ac:dyDescent="0.25">
      <c r="G48" s="84">
        <v>33</v>
      </c>
      <c r="H48" s="84" t="s">
        <v>228</v>
      </c>
      <c r="I48" s="84">
        <v>5</v>
      </c>
      <c r="J48" s="85" t="s">
        <v>214</v>
      </c>
      <c r="K48" s="85" t="s">
        <v>222</v>
      </c>
    </row>
    <row r="49" spans="1:11" x14ac:dyDescent="0.25">
      <c r="A49" s="137" t="s">
        <v>102</v>
      </c>
      <c r="B49" t="s">
        <v>174</v>
      </c>
      <c r="G49" s="84">
        <v>34</v>
      </c>
      <c r="H49" s="84" t="s">
        <v>229</v>
      </c>
      <c r="I49" s="84">
        <v>4</v>
      </c>
      <c r="J49" s="85" t="s">
        <v>215</v>
      </c>
      <c r="K49" s="85" t="s">
        <v>222</v>
      </c>
    </row>
    <row r="50" spans="1:11" x14ac:dyDescent="0.25">
      <c r="A50" s="137"/>
      <c r="B50" t="s">
        <v>166</v>
      </c>
      <c r="G50" s="84">
        <v>35</v>
      </c>
      <c r="H50" s="84" t="s">
        <v>230</v>
      </c>
      <c r="I50" s="84">
        <v>6</v>
      </c>
      <c r="J50" s="85" t="s">
        <v>216</v>
      </c>
      <c r="K50" s="85" t="s">
        <v>222</v>
      </c>
    </row>
    <row r="51" spans="1:11" x14ac:dyDescent="0.25">
      <c r="A51" s="137"/>
      <c r="B51" t="s">
        <v>167</v>
      </c>
      <c r="G51" s="84">
        <v>36</v>
      </c>
      <c r="H51" s="84" t="s">
        <v>231</v>
      </c>
      <c r="I51" s="84">
        <v>7</v>
      </c>
      <c r="J51" s="85" t="s">
        <v>217</v>
      </c>
      <c r="K51" s="85" t="s">
        <v>222</v>
      </c>
    </row>
    <row r="52" spans="1:11" x14ac:dyDescent="0.25">
      <c r="A52" s="137"/>
      <c r="B52" t="s">
        <v>165</v>
      </c>
      <c r="G52" s="84">
        <v>37</v>
      </c>
      <c r="H52" s="84" t="s">
        <v>232</v>
      </c>
      <c r="I52" s="84">
        <v>5</v>
      </c>
      <c r="J52" s="85" t="s">
        <v>218</v>
      </c>
      <c r="K52" s="85" t="s">
        <v>222</v>
      </c>
    </row>
    <row r="53" spans="1:11" x14ac:dyDescent="0.25">
      <c r="A53" s="54"/>
      <c r="G53" s="84">
        <v>38</v>
      </c>
      <c r="H53" s="84" t="s">
        <v>233</v>
      </c>
      <c r="I53" s="84">
        <v>6</v>
      </c>
      <c r="J53" s="85" t="s">
        <v>219</v>
      </c>
      <c r="K53" s="85" t="s">
        <v>222</v>
      </c>
    </row>
    <row r="54" spans="1:11" x14ac:dyDescent="0.25">
      <c r="A54" s="54"/>
      <c r="B54" s="57" t="s">
        <v>281</v>
      </c>
      <c r="G54" s="84">
        <v>39</v>
      </c>
      <c r="H54" s="84" t="s">
        <v>234</v>
      </c>
      <c r="I54" s="84">
        <v>7</v>
      </c>
      <c r="J54" s="85" t="s">
        <v>220</v>
      </c>
      <c r="K54" s="85" t="s">
        <v>222</v>
      </c>
    </row>
    <row r="55" spans="1:11" x14ac:dyDescent="0.25">
      <c r="G55" s="84">
        <v>40</v>
      </c>
      <c r="H55" s="84" t="s">
        <v>235</v>
      </c>
      <c r="I55" s="84">
        <v>8</v>
      </c>
      <c r="J55" s="85" t="s">
        <v>221</v>
      </c>
      <c r="K55" s="85" t="s">
        <v>222</v>
      </c>
    </row>
    <row r="56" spans="1:11" x14ac:dyDescent="0.25">
      <c r="B56" s="56">
        <f>IF(Configuratore!W14=Inverter!C4,1,0)+IF(Configuratore!W14=Inverter!C5,2,0)+IF(Configuratore!W14=Inverter!C6,3,0)+IF(Configuratore!W14=Inverter!C7,4,0)+IF(Configuratore!W14=Inverter!C8,5,0)+IF(Configuratore!W14=Inverter!C9,6,0)+IF(Configuratore!W14=Inverter!C10,7,0)+IF(Configuratore!W14=Inverter!C11,8,0)+IF(Configuratore!W14=Inverter!C12,9,0)+IF(Configuratore!W14=Inverter!C13,10,0)+IF(Configuratore!W14=Inverter!C14,11,0)+IF(Configuratore!W14=Inverter!C15,12,0)+IF(Configuratore!W14=Inverter!C16,13,0)+IF(Configuratore!W14=Inverter!C17,14,0)</f>
        <v>3</v>
      </c>
    </row>
    <row r="57" spans="1:11" x14ac:dyDescent="0.25">
      <c r="B57" s="79" t="str">
        <f>CHOOSE(B56,B43,B43,B43,B43,B43,B43,B43,B43,B43,B54,B54)</f>
        <v>Assente</v>
      </c>
      <c r="J57" s="4" t="s">
        <v>270</v>
      </c>
    </row>
    <row r="58" spans="1:11" x14ac:dyDescent="0.25">
      <c r="B58" s="80" t="str">
        <f>CHOOSE(B56,B44,B44,B44,B44,B44,B50,B50,B50,B50,"","")</f>
        <v>Batterie Pylontech serie US</v>
      </c>
      <c r="G58" s="84">
        <v>41</v>
      </c>
      <c r="H58" s="85" t="s">
        <v>259</v>
      </c>
      <c r="I58" s="85"/>
      <c r="J58" s="85" t="s">
        <v>264</v>
      </c>
      <c r="K58" s="85" t="s">
        <v>269</v>
      </c>
    </row>
    <row r="59" spans="1:11" x14ac:dyDescent="0.25">
      <c r="B59" s="80" t="str">
        <f>CHOOSE(B56,B45,B45,B45,B45,B45,B51,B51,B51,B51,"","")</f>
        <v>Batterie Pylontech serie L2</v>
      </c>
      <c r="G59" s="84">
        <v>42</v>
      </c>
      <c r="H59" s="85" t="s">
        <v>260</v>
      </c>
      <c r="I59" s="85"/>
      <c r="J59" s="85" t="s">
        <v>265</v>
      </c>
      <c r="K59" s="85" t="s">
        <v>269</v>
      </c>
    </row>
    <row r="60" spans="1:11" x14ac:dyDescent="0.25">
      <c r="B60" s="81" t="str">
        <f>CHOOSE(B56,B46,B46,B46,B46,B46,B52,B52,B52,B52,"","")</f>
        <v>Batterie Dowell iPack</v>
      </c>
      <c r="G60" s="84">
        <v>43</v>
      </c>
      <c r="H60" s="85" t="s">
        <v>261</v>
      </c>
      <c r="I60" s="85"/>
      <c r="J60" s="85" t="s">
        <v>266</v>
      </c>
      <c r="K60" s="85" t="s">
        <v>269</v>
      </c>
    </row>
    <row r="61" spans="1:11" x14ac:dyDescent="0.25">
      <c r="G61" s="84">
        <v>44</v>
      </c>
      <c r="H61" s="85" t="s">
        <v>262</v>
      </c>
      <c r="I61" s="85"/>
      <c r="J61" s="85" t="s">
        <v>267</v>
      </c>
      <c r="K61" s="85" t="s">
        <v>269</v>
      </c>
    </row>
    <row r="62" spans="1:11" x14ac:dyDescent="0.25">
      <c r="G62" s="84">
        <v>45</v>
      </c>
      <c r="H62" s="85" t="s">
        <v>263</v>
      </c>
      <c r="I62" s="85"/>
      <c r="J62" s="85" t="s">
        <v>268</v>
      </c>
      <c r="K62" s="85" t="s">
        <v>269</v>
      </c>
    </row>
    <row r="72" spans="7:11" x14ac:dyDescent="0.25">
      <c r="J72" s="4" t="s">
        <v>271</v>
      </c>
    </row>
    <row r="73" spans="7:11" x14ac:dyDescent="0.25">
      <c r="G73" s="84">
        <v>46</v>
      </c>
      <c r="H73" s="85" t="s">
        <v>274</v>
      </c>
      <c r="I73" s="84">
        <v>2</v>
      </c>
      <c r="J73" s="85" t="s">
        <v>275</v>
      </c>
      <c r="K73" s="85" t="s">
        <v>186</v>
      </c>
    </row>
    <row r="74" spans="7:11" x14ac:dyDescent="0.25">
      <c r="G74" s="84">
        <v>47</v>
      </c>
      <c r="H74" s="85" t="s">
        <v>272</v>
      </c>
      <c r="I74" s="84">
        <v>3</v>
      </c>
      <c r="J74" s="85" t="s">
        <v>276</v>
      </c>
      <c r="K74" s="85" t="s">
        <v>186</v>
      </c>
    </row>
    <row r="75" spans="7:11" x14ac:dyDescent="0.25">
      <c r="G75" s="84">
        <v>48</v>
      </c>
      <c r="H75" s="85" t="s">
        <v>273</v>
      </c>
      <c r="I75" s="84">
        <v>4</v>
      </c>
      <c r="J75" s="85" t="s">
        <v>277</v>
      </c>
      <c r="K75" s="85" t="s">
        <v>186</v>
      </c>
    </row>
    <row r="88" spans="7:11" x14ac:dyDescent="0.25">
      <c r="J88" s="4" t="s">
        <v>280</v>
      </c>
    </row>
    <row r="89" spans="7:11" x14ac:dyDescent="0.25">
      <c r="G89" s="84">
        <v>49</v>
      </c>
      <c r="H89" s="85" t="s">
        <v>282</v>
      </c>
      <c r="I89" s="85"/>
      <c r="J89" s="85" t="s">
        <v>286</v>
      </c>
      <c r="K89" s="85"/>
    </row>
    <row r="90" spans="7:11" x14ac:dyDescent="0.25">
      <c r="G90" s="84">
        <v>50</v>
      </c>
      <c r="H90" s="85" t="s">
        <v>283</v>
      </c>
      <c r="I90" s="85"/>
      <c r="J90" s="85" t="s">
        <v>287</v>
      </c>
      <c r="K90" s="85"/>
    </row>
    <row r="91" spans="7:11" x14ac:dyDescent="0.25">
      <c r="G91" s="84">
        <v>51</v>
      </c>
      <c r="H91" s="85" t="s">
        <v>284</v>
      </c>
      <c r="I91" s="85"/>
      <c r="J91" s="85" t="s">
        <v>288</v>
      </c>
      <c r="K91" s="85"/>
    </row>
    <row r="92" spans="7:11" x14ac:dyDescent="0.25">
      <c r="G92" s="84">
        <v>52</v>
      </c>
      <c r="H92" s="85" t="s">
        <v>285</v>
      </c>
      <c r="I92" s="85"/>
      <c r="J92" s="85" t="s">
        <v>289</v>
      </c>
      <c r="K92" s="85"/>
    </row>
    <row r="100" spans="7:11" x14ac:dyDescent="0.25">
      <c r="J100" s="4" t="s">
        <v>311</v>
      </c>
    </row>
    <row r="101" spans="7:11" x14ac:dyDescent="0.25">
      <c r="G101" s="84">
        <v>53</v>
      </c>
      <c r="H101" s="85" t="s">
        <v>312</v>
      </c>
      <c r="I101" s="85"/>
      <c r="J101" s="85" t="s">
        <v>316</v>
      </c>
      <c r="K101" s="85" t="s">
        <v>323</v>
      </c>
    </row>
    <row r="102" spans="7:11" x14ac:dyDescent="0.25">
      <c r="G102" s="84">
        <v>54</v>
      </c>
      <c r="H102" s="85" t="s">
        <v>313</v>
      </c>
      <c r="I102" s="85"/>
      <c r="J102" s="85" t="s">
        <v>317</v>
      </c>
      <c r="K102" s="85" t="s">
        <v>324</v>
      </c>
    </row>
    <row r="103" spans="7:11" x14ac:dyDescent="0.25">
      <c r="G103" s="84">
        <v>55</v>
      </c>
      <c r="H103" s="85" t="s">
        <v>314</v>
      </c>
      <c r="I103" s="85"/>
      <c r="J103" s="85" t="s">
        <v>318</v>
      </c>
      <c r="K103" s="85" t="s">
        <v>325</v>
      </c>
    </row>
    <row r="104" spans="7:11" x14ac:dyDescent="0.25">
      <c r="G104" s="84">
        <v>56</v>
      </c>
      <c r="H104" s="85" t="s">
        <v>315</v>
      </c>
      <c r="I104" s="85"/>
      <c r="J104" s="85" t="s">
        <v>319</v>
      </c>
      <c r="K104" s="85" t="s">
        <v>326</v>
      </c>
    </row>
    <row r="105" spans="7:11" x14ac:dyDescent="0.25">
      <c r="G105" s="84">
        <v>57</v>
      </c>
      <c r="H105" s="85" t="s">
        <v>321</v>
      </c>
      <c r="I105" s="85"/>
      <c r="J105" s="85" t="s">
        <v>322</v>
      </c>
      <c r="K105" s="85" t="s">
        <v>327</v>
      </c>
    </row>
  </sheetData>
  <mergeCells count="2">
    <mergeCell ref="A43:A45"/>
    <mergeCell ref="A49:A5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Configuratore</vt:lpstr>
      <vt:lpstr>Pagina di calcolo</vt:lpstr>
      <vt:lpstr>Moduli Fotovoltaici</vt:lpstr>
      <vt:lpstr>Inverter</vt:lpstr>
      <vt:lpstr>SdA</vt:lpstr>
      <vt:lpstr>Configuratore!Print_Area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Simone Sardelli</cp:lastModifiedBy>
  <cp:lastPrinted>2023-12-11T16:00:49Z</cp:lastPrinted>
  <dcterms:created xsi:type="dcterms:W3CDTF">2021-09-20T20:31:02Z</dcterms:created>
  <dcterms:modified xsi:type="dcterms:W3CDTF">2023-12-12T08:07:10Z</dcterms:modified>
</cp:coreProperties>
</file>